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Data\Documents\ISCWSA Error Model Committee\Documents\Rev5 Documents\Technical Supplements\"/>
    </mc:Choice>
  </mc:AlternateContent>
  <xr:revisionPtr revIDLastSave="0" documentId="13_ncr:1_{D4771CE3-8BEE-42AD-90C9-6F16714FE711}" xr6:coauthVersionLast="44" xr6:coauthVersionMax="44" xr10:uidLastSave="{00000000-0000-0000-0000-000000000000}"/>
  <bookViews>
    <workbookView xWindow="-120" yWindow="-120" windowWidth="29040" windowHeight="17640" firstSheet="1" activeTab="2" xr2:uid="{00000000-000D-0000-FFFF-FFFF00000000}"/>
  </bookViews>
  <sheets>
    <sheet name="Correlation matrix" sheetId="2" r:id="rId1"/>
    <sheet name="Numerical derivation" sheetId="1" r:id="rId2"/>
    <sheet name="New Error Sources_v3" sheetId="7" r:id="rId3"/>
    <sheet name="Notes" sheetId="8" r:id="rId4"/>
  </sheets>
  <definedNames>
    <definedName name="_xlnm.Print_Area" localSheetId="2">'New Error Sources_v3'!$A$10:$I$51</definedName>
    <definedName name="_xlnm.Print_Area" localSheetId="1">'Numerical derivation'!$A$1:$T$62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7" l="1"/>
  <c r="H33" i="7"/>
  <c r="G33" i="7"/>
  <c r="F33" i="7"/>
  <c r="E33" i="7"/>
  <c r="I23" i="7"/>
  <c r="H23" i="7"/>
  <c r="G23" i="7"/>
  <c r="F23" i="7"/>
  <c r="E23" i="7"/>
  <c r="I13" i="7"/>
  <c r="H13" i="7"/>
  <c r="G13" i="7"/>
  <c r="F13" i="7"/>
  <c r="E13" i="7"/>
  <c r="U5" i="7"/>
  <c r="T5" i="7"/>
  <c r="S5" i="7"/>
  <c r="R5" i="7"/>
  <c r="Q5" i="7"/>
  <c r="P5" i="7"/>
  <c r="O5" i="7"/>
  <c r="N5" i="7"/>
  <c r="M5" i="7"/>
  <c r="L5" i="7"/>
  <c r="K5" i="7"/>
  <c r="J5" i="7"/>
  <c r="I5" i="7"/>
  <c r="H5" i="7"/>
  <c r="G5" i="7"/>
  <c r="F5" i="7"/>
  <c r="U4" i="7"/>
  <c r="T4" i="7"/>
  <c r="S4" i="7"/>
  <c r="R4" i="7"/>
  <c r="Q4" i="7"/>
  <c r="P4" i="7"/>
  <c r="O4" i="7"/>
  <c r="N4" i="7"/>
  <c r="M4" i="7"/>
  <c r="G46" i="7" s="1"/>
  <c r="L4" i="7"/>
  <c r="G36" i="7" s="1"/>
  <c r="K4" i="7"/>
  <c r="G26" i="7" s="1"/>
  <c r="J4" i="7"/>
  <c r="G16" i="7" s="1"/>
  <c r="E3" i="7"/>
  <c r="E5" i="7" s="1"/>
  <c r="D3" i="7"/>
  <c r="D5" i="7" s="1"/>
  <c r="C3" i="7"/>
  <c r="B3" i="7"/>
  <c r="B5" i="7" l="1"/>
  <c r="C5" i="7"/>
  <c r="A50" i="1" l="1"/>
  <c r="A66" i="1" s="1"/>
  <c r="A82" i="1" s="1"/>
  <c r="A49" i="1"/>
  <c r="A65" i="1" s="1"/>
  <c r="A81" i="1" s="1"/>
  <c r="F83" i="1"/>
  <c r="E83" i="1"/>
  <c r="D83" i="1"/>
  <c r="C83" i="1"/>
  <c r="C81" i="1"/>
  <c r="B81" i="1"/>
  <c r="B83" i="1"/>
  <c r="F67" i="1"/>
  <c r="E67" i="1"/>
  <c r="D67" i="1"/>
  <c r="C65" i="1"/>
  <c r="C67" i="1"/>
  <c r="B65" i="1"/>
  <c r="B67" i="1"/>
  <c r="F51" i="1"/>
  <c r="E51" i="1"/>
  <c r="D51" i="1"/>
  <c r="C49" i="1"/>
  <c r="C51" i="1"/>
  <c r="B49" i="1"/>
  <c r="B51" i="1"/>
  <c r="F35" i="1"/>
  <c r="E35" i="1"/>
  <c r="D35" i="1"/>
  <c r="C33" i="1"/>
  <c r="C35" i="1"/>
  <c r="B33" i="1"/>
  <c r="B35" i="1"/>
  <c r="R4" i="1"/>
  <c r="F33" i="1" s="1"/>
  <c r="I17" i="7" s="1"/>
  <c r="S4" i="1"/>
  <c r="F49" i="1" s="1"/>
  <c r="I27" i="7" s="1"/>
  <c r="I25" i="7" s="1"/>
  <c r="T4" i="1"/>
  <c r="F65" i="1" s="1"/>
  <c r="I37" i="7" s="1"/>
  <c r="U4" i="1"/>
  <c r="F81" i="1" s="1"/>
  <c r="I47" i="7" s="1"/>
  <c r="I45" i="7" s="1"/>
  <c r="R5" i="1"/>
  <c r="F34" i="1" s="1"/>
  <c r="I20" i="7" s="1"/>
  <c r="S5" i="1"/>
  <c r="F50" i="1" s="1"/>
  <c r="I30" i="7" s="1"/>
  <c r="T5" i="1"/>
  <c r="F66" i="1" s="1"/>
  <c r="I40" i="7" s="1"/>
  <c r="U5" i="1"/>
  <c r="F82" i="1" s="1"/>
  <c r="I50" i="7" s="1"/>
  <c r="O5" i="1"/>
  <c r="E50" i="1" s="1"/>
  <c r="H30" i="7" s="1"/>
  <c r="G30" i="7" s="1"/>
  <c r="P5" i="1"/>
  <c r="E66" i="1" s="1"/>
  <c r="H40" i="7" s="1"/>
  <c r="G40" i="7" s="1"/>
  <c r="F40" i="7" s="1"/>
  <c r="E40" i="7" s="1"/>
  <c r="Q5" i="1"/>
  <c r="E82" i="1" s="1"/>
  <c r="H50" i="7" s="1"/>
  <c r="G50" i="7" s="1"/>
  <c r="F50" i="7" s="1"/>
  <c r="E50" i="7" s="1"/>
  <c r="N5" i="1"/>
  <c r="E34" i="1" s="1"/>
  <c r="H20" i="7" s="1"/>
  <c r="N4" i="1"/>
  <c r="E33" i="1" s="1"/>
  <c r="H17" i="7" s="1"/>
  <c r="O4" i="1"/>
  <c r="E49" i="1" s="1"/>
  <c r="H27" i="7" s="1"/>
  <c r="P4" i="1"/>
  <c r="E65" i="1" s="1"/>
  <c r="H37" i="7" s="1"/>
  <c r="Q4" i="1"/>
  <c r="E81" i="1" s="1"/>
  <c r="H47" i="7" s="1"/>
  <c r="H45" i="7" s="1"/>
  <c r="K4" i="1"/>
  <c r="D49" i="1" s="1"/>
  <c r="L4" i="1"/>
  <c r="D65" i="1" s="1"/>
  <c r="M4" i="1"/>
  <c r="D81" i="1" s="1"/>
  <c r="J4" i="1"/>
  <c r="D33" i="1" s="1"/>
  <c r="K5" i="1"/>
  <c r="D50" i="1" s="1"/>
  <c r="L5" i="1"/>
  <c r="D66" i="1" s="1"/>
  <c r="M5" i="1"/>
  <c r="D82" i="1" s="1"/>
  <c r="J5" i="1"/>
  <c r="D34" i="1" s="1"/>
  <c r="F5" i="1"/>
  <c r="C34" i="1" s="1"/>
  <c r="C3" i="1"/>
  <c r="C5" i="1" s="1"/>
  <c r="B50" i="1" s="1"/>
  <c r="D3" i="1"/>
  <c r="D5" i="1" s="1"/>
  <c r="B66" i="1" s="1"/>
  <c r="E35" i="7" s="1"/>
  <c r="E3" i="1"/>
  <c r="E5" i="1" s="1"/>
  <c r="B82" i="1" s="1"/>
  <c r="E45" i="7" s="1"/>
  <c r="B3" i="1"/>
  <c r="B5" i="1" s="1"/>
  <c r="B34" i="1" s="1"/>
  <c r="E15" i="7" s="1"/>
  <c r="G5" i="1"/>
  <c r="C50" i="1" s="1"/>
  <c r="H5" i="1"/>
  <c r="C66" i="1" s="1"/>
  <c r="I5" i="1"/>
  <c r="C82" i="1" s="1"/>
  <c r="G15" i="7" l="1"/>
  <c r="G19" i="7"/>
  <c r="F19" i="7" s="1"/>
  <c r="E19" i="7" s="1"/>
  <c r="F30" i="7"/>
  <c r="E30" i="7" s="1"/>
  <c r="G45" i="7"/>
  <c r="G49" i="7"/>
  <c r="F49" i="7" s="1"/>
  <c r="H35" i="7"/>
  <c r="G39" i="7"/>
  <c r="F39" i="7" s="1"/>
  <c r="H25" i="7"/>
  <c r="G25" i="7"/>
  <c r="G29" i="7"/>
  <c r="F29" i="7" s="1"/>
  <c r="D70" i="1"/>
  <c r="E70" i="1" s="1"/>
  <c r="G35" i="7"/>
  <c r="E72" i="1"/>
  <c r="C71" i="1"/>
  <c r="F35" i="7"/>
  <c r="H42" i="1"/>
  <c r="I15" i="7"/>
  <c r="F40" i="1"/>
  <c r="H15" i="7"/>
  <c r="B54" i="1"/>
  <c r="E25" i="7"/>
  <c r="I35" i="7"/>
  <c r="C87" i="1"/>
  <c r="F45" i="7"/>
  <c r="C39" i="1"/>
  <c r="F15" i="7"/>
  <c r="C55" i="1"/>
  <c r="F25" i="7"/>
  <c r="C38" i="1"/>
  <c r="B38" i="1"/>
  <c r="F88" i="1"/>
  <c r="F87" i="1"/>
  <c r="G87" i="1" s="1"/>
  <c r="G90" i="1"/>
  <c r="D72" i="1"/>
  <c r="E73" i="1" s="1"/>
  <c r="D38" i="1"/>
  <c r="E38" i="1" s="1"/>
  <c r="D71" i="1"/>
  <c r="E71" i="1" s="1"/>
  <c r="B86" i="1"/>
  <c r="C86" i="1"/>
  <c r="D39" i="1"/>
  <c r="E39" i="1" s="1"/>
  <c r="E40" i="1"/>
  <c r="D40" i="1"/>
  <c r="E41" i="1" s="1"/>
  <c r="I76" i="1"/>
  <c r="H72" i="1"/>
  <c r="H76" i="1"/>
  <c r="I77" i="1" s="1"/>
  <c r="H71" i="1"/>
  <c r="I71" i="1" s="1"/>
  <c r="H70" i="1"/>
  <c r="I70" i="1" s="1"/>
  <c r="H75" i="1"/>
  <c r="I74" i="1" s="1"/>
  <c r="H74" i="1"/>
  <c r="I75" i="1" s="1"/>
  <c r="C70" i="1"/>
  <c r="B70" i="1"/>
  <c r="D56" i="1"/>
  <c r="E57" i="1" s="1"/>
  <c r="D54" i="1"/>
  <c r="E54" i="1" s="1"/>
  <c r="D55" i="1"/>
  <c r="E55" i="1" s="1"/>
  <c r="E56" i="1"/>
  <c r="H59" i="1"/>
  <c r="I58" i="1" s="1"/>
  <c r="I60" i="1"/>
  <c r="H60" i="1"/>
  <c r="I61" i="1" s="1"/>
  <c r="H56" i="1"/>
  <c r="H54" i="1"/>
  <c r="I54" i="1" s="1"/>
  <c r="H58" i="1"/>
  <c r="I59" i="1" s="1"/>
  <c r="H55" i="1"/>
  <c r="I55" i="1" s="1"/>
  <c r="G42" i="1"/>
  <c r="F38" i="1"/>
  <c r="G38" i="1" s="1"/>
  <c r="F39" i="1"/>
  <c r="G39" i="1" s="1"/>
  <c r="F42" i="1"/>
  <c r="G43" i="1" s="1"/>
  <c r="F56" i="1"/>
  <c r="G58" i="1"/>
  <c r="F54" i="1"/>
  <c r="G54" i="1" s="1"/>
  <c r="F58" i="1"/>
  <c r="G59" i="1" s="1"/>
  <c r="F55" i="1"/>
  <c r="G55" i="1" s="1"/>
  <c r="H90" i="1"/>
  <c r="H87" i="1"/>
  <c r="H86" i="1"/>
  <c r="H92" i="1"/>
  <c r="I92" i="1"/>
  <c r="H91" i="1"/>
  <c r="H88" i="1"/>
  <c r="H40" i="1"/>
  <c r="I44" i="1"/>
  <c r="H38" i="1"/>
  <c r="I38" i="1" s="1"/>
  <c r="H43" i="1"/>
  <c r="I42" i="1" s="1"/>
  <c r="I43" i="1"/>
  <c r="H44" i="1"/>
  <c r="I45" i="1" s="1"/>
  <c r="H39" i="1"/>
  <c r="I39" i="1" s="1"/>
  <c r="G88" i="1"/>
  <c r="F89" i="1"/>
  <c r="D86" i="1"/>
  <c r="E88" i="1"/>
  <c r="D87" i="1"/>
  <c r="D88" i="1"/>
  <c r="F70" i="1"/>
  <c r="G70" i="1" s="1"/>
  <c r="G74" i="1"/>
  <c r="F74" i="1"/>
  <c r="G75" i="1" s="1"/>
  <c r="F72" i="1"/>
  <c r="F71" i="1"/>
  <c r="G71" i="1" s="1"/>
  <c r="F86" i="1"/>
  <c r="F90" i="1"/>
  <c r="C54" i="1"/>
  <c r="F28" i="7" l="1"/>
  <c r="E28" i="7" s="1"/>
  <c r="E29" i="7"/>
  <c r="F48" i="7"/>
  <c r="E48" i="7" s="1"/>
  <c r="E49" i="7"/>
  <c r="C98" i="1"/>
  <c r="F38" i="7"/>
  <c r="E38" i="7" s="1"/>
  <c r="E39" i="7"/>
  <c r="F18" i="7"/>
  <c r="E18" i="7" s="1"/>
  <c r="G101" i="1"/>
  <c r="G98" i="1"/>
  <c r="F99" i="1"/>
  <c r="H73" i="1"/>
  <c r="I73" i="1" s="1"/>
  <c r="I72" i="1"/>
  <c r="H98" i="1"/>
  <c r="I87" i="1"/>
  <c r="I98" i="1" s="1"/>
  <c r="I56" i="1"/>
  <c r="H57" i="1"/>
  <c r="I57" i="1" s="1"/>
  <c r="G72" i="1"/>
  <c r="F73" i="1"/>
  <c r="G73" i="1" s="1"/>
  <c r="G89" i="1"/>
  <c r="F57" i="1"/>
  <c r="G57" i="1" s="1"/>
  <c r="G56" i="1"/>
  <c r="I40" i="1"/>
  <c r="H41" i="1"/>
  <c r="I41" i="1" s="1"/>
  <c r="I91" i="1"/>
  <c r="I102" i="1" s="1"/>
  <c r="H101" i="1"/>
  <c r="H97" i="1"/>
  <c r="I86" i="1"/>
  <c r="I97" i="1" s="1"/>
  <c r="D99" i="1"/>
  <c r="E89" i="1"/>
  <c r="E100" i="1" s="1"/>
  <c r="I88" i="1"/>
  <c r="H89" i="1"/>
  <c r="H99" i="1"/>
  <c r="G40" i="1"/>
  <c r="F41" i="1"/>
  <c r="G41" i="1" s="1"/>
  <c r="G86" i="1"/>
  <c r="G97" i="1" s="1"/>
  <c r="F97" i="1"/>
  <c r="I90" i="1"/>
  <c r="I101" i="1" s="1"/>
  <c r="H102" i="1"/>
  <c r="F98" i="1"/>
  <c r="I103" i="1"/>
  <c r="C97" i="1"/>
  <c r="F101" i="1"/>
  <c r="G91" i="1"/>
  <c r="G102" i="1" s="1"/>
  <c r="E87" i="1"/>
  <c r="E98" i="1" s="1"/>
  <c r="D98" i="1"/>
  <c r="E99" i="1"/>
  <c r="D97" i="1"/>
  <c r="E86" i="1"/>
  <c r="E97" i="1" s="1"/>
  <c r="H103" i="1"/>
  <c r="I93" i="1"/>
  <c r="I104" i="1" s="1"/>
  <c r="B97" i="1"/>
  <c r="G99" i="1" l="1"/>
  <c r="I99" i="1"/>
  <c r="F100" i="1"/>
  <c r="H100" i="1"/>
  <c r="I89" i="1"/>
  <c r="I100" i="1" s="1"/>
  <c r="G100" i="1"/>
</calcChain>
</file>

<file path=xl/sharedStrings.xml><?xml version="1.0" encoding="utf-8"?>
<sst xmlns="http://schemas.openxmlformats.org/spreadsheetml/2006/main" count="409" uniqueCount="157">
  <si>
    <t>DECG</t>
  </si>
  <si>
    <t>DBHG</t>
  </si>
  <si>
    <t>MFIG</t>
  </si>
  <si>
    <t>MDIG</t>
  </si>
  <si>
    <t>IGRF</t>
  </si>
  <si>
    <t>5-year public models (IGRF, WMM)</t>
  </si>
  <si>
    <t>Root Sum Square</t>
  </si>
  <si>
    <t>1-year Standard Definition (BGGM, MVSD)</t>
  </si>
  <si>
    <t>1-year High Definition (HDGM, MVHD)</t>
  </si>
  <si>
    <t>In-Field Referencing (IFR1)</t>
  </si>
  <si>
    <t>Assumptions:</t>
  </si>
  <si>
    <t>For the 1-year models, the main field error is 1/10th of the total error</t>
  </si>
  <si>
    <t>For IFR models, the crustal comission error is twice as high as the crustal ommission error</t>
  </si>
  <si>
    <t>For High Definition models, the crustal comission error is half as high as the crustal ommission error</t>
  </si>
  <si>
    <t>IFR2</t>
  </si>
  <si>
    <t>Bold=ISCWSA/OWSG</t>
  </si>
  <si>
    <t>Blue=Assumptions based on earlier studies</t>
  </si>
  <si>
    <t>Error type</t>
  </si>
  <si>
    <t>Between different model/method</t>
  </si>
  <si>
    <t>correlated</t>
  </si>
  <si>
    <t>uncorrelated</t>
  </si>
  <si>
    <t>Standard</t>
  </si>
  <si>
    <t>Highdef</t>
  </si>
  <si>
    <t>IFR1</t>
  </si>
  <si>
    <t>HD #1</t>
  </si>
  <si>
    <t>HD #2</t>
  </si>
  <si>
    <t>IFR1 #1</t>
  </si>
  <si>
    <t>IFR1 #2</t>
  </si>
  <si>
    <t>IFR2 #1</t>
  </si>
  <si>
    <t>IFR2 #2</t>
  </si>
  <si>
    <t>IFR1 + Disturbance field correction (IFR2)</t>
  </si>
  <si>
    <t>Commission error is the error of the model in representing what it should be representing</t>
  </si>
  <si>
    <t>Omission error is the error due to the model not representing parts of the field (e.g. IGRF not having a crustal component)</t>
  </si>
  <si>
    <t>Since the main field changes over time, main field errors would only correlated within the same model for a short time period</t>
  </si>
  <si>
    <t>The crustal commission error is inherrently tied to the constant crustal part of a model, so correlated within model but uncorrelated to others</t>
  </si>
  <si>
    <t>The crustal omission error is correlated even between different models, as long as the same parts of the crust are omitted</t>
  </si>
  <si>
    <t xml:space="preserve">The global portion of the disturbance field changes over time and is therefore uncorrelated, even within the same model </t>
  </si>
  <si>
    <t>Average correlation in %</t>
  </si>
  <si>
    <t>Main field error</t>
  </si>
  <si>
    <t>Crust commision error</t>
  </si>
  <si>
    <t>Crust omission error</t>
  </si>
  <si>
    <t>Disturbance field error</t>
  </si>
  <si>
    <t>Green = Computed from the black squared minus the blue squared values</t>
  </si>
  <si>
    <t>Correlation = Square of correlated error / (sigmaA * sigmaB)</t>
  </si>
  <si>
    <t>Between same model*</t>
  </si>
  <si>
    <t>*IFR1-#1 and IFR2-#1 are assumed here to have the same crustal model, the errors of which are therefore correlated, same for IFR1-#2 and IFR2-#2</t>
  </si>
  <si>
    <t>Interpretation:</t>
  </si>
  <si>
    <t>If one well is referenced with IGRF, the other with BGGM, they share a large correlated crustal omission error and have some additional uncorrelated main field errors.</t>
  </si>
  <si>
    <t>By correcting for the disturbance field (IFR2), one reduces a source of uncorrelated error. Therefore two IFR2 wells sharing the same crustal correction have higher correlated errors than two IFR1 wells.</t>
  </si>
  <si>
    <t>Crustal commision error</t>
  </si>
  <si>
    <t>Crustal omission error</t>
  </si>
  <si>
    <t>partly correlated</t>
  </si>
  <si>
    <t>Correlated crustal omission</t>
  </si>
  <si>
    <t>Crustal commission error correlation</t>
  </si>
  <si>
    <t>Crustal ommission error correlation</t>
  </si>
  <si>
    <t xml:space="preserve">The short scales of the crustal anomaly differ for 2 well paths. For standard models 90% of the crustal anomaly along 2 different well paths may be correlated. For HD models, where the long wavelength error is reduced, the correlation may drop to 80%, while for IFR models the remaining ommission error is more short scale, so the crustal omission error may be 70% correlated. </t>
  </si>
  <si>
    <t>The commission error for HD models is all long wavelength, so is 100% correlated for two different well paths. Since IFR models include very short scales, their commission error may be different between two well paths and therefore maybe only 70% correlated.</t>
  </si>
  <si>
    <t>Correlation of geomagnetic reference values integrated for two different wells</t>
  </si>
  <si>
    <t xml:space="preserve">The short scales of the crustal anomaly differ for 2 well paths. For standard models 90% of the crustal anomaly along 2 different well paths may be correlated. For HD models, where the long wavelength error is reduced, the correlation may drop to 80%, while for IFR models the remaining ommission error is more short scale, so the crustal omission error may be 70% correlated between two different well paths. </t>
  </si>
  <si>
    <t>The error of a yearly updated standard model (BGGM, MVSD) is dominated by the crustal omission. 2 Wells referenced with standard models (whether the same or different) therefore share a portion of the the same highly correlated crustal error</t>
  </si>
  <si>
    <t xml:space="preserve">The error of a 5-year updated model (IGRF, WMM) has the additional contribution of an uncorrelated main field error. Two such wells share a large part of the correlated crustal omission error but have large uncorrelated main field errors </t>
  </si>
  <si>
    <t xml:space="preserve">In IFR models, which are meant to represent the entire crustal field, the crustal omission error becomes small, while there is still significant commission error. That commission error is partly correlated between two wells using the same IFR1 method, but is uncorrelated between two different methods. For example, one well may have been referenced using a ground shot while the other was referenced using an aeromagnetic transformation. The errors between these very different IFR1 methods would be largely uncorrelated. </t>
  </si>
  <si>
    <t>The commission error for HD models is all long wavelength, so is 100% correlated for two different well paths. Since IFR models include very short scales, their commission error is different between two well paths and therefore may be only 70% correlated.</t>
  </si>
  <si>
    <t xml:space="preserve">The errors of high definition models (HDGM, MVHD) are still dominated by largely correlated crustal omission errors. Here the crustal commission error (of the model itself) becomes more important, so that correlations of the errors of 2 different models will be lower than if the same model is used for both wells. Also to consider here is that the HD and IFR models generally provide the large scale part of the crustal anomaly. This is highly correlated between different well trajectories in the same area. However, the crustal omission error is due to the small-scale crustal features that are not part of the model. Because they are small-scale, they can differ substantially between two wellbore trajectories in the same area. 
</t>
  </si>
  <si>
    <t>If one well is referenced with IFR1 and the other with IFR2 (additional disturbance field correction), but both share the same crustal correction, then this is denoted here by IFR1-#1 and IFR2-#1. They then share part of the crustal omission and commission errors, leading to partly correlated errors.</t>
  </si>
  <si>
    <t>Crust Commission error</t>
  </si>
  <si>
    <t>5 year</t>
  </si>
  <si>
    <t>1 year SD</t>
  </si>
  <si>
    <t>1 year HD</t>
  </si>
  <si>
    <t>Description</t>
  </si>
  <si>
    <t>Code</t>
  </si>
  <si>
    <t>Propagation</t>
  </si>
  <si>
    <t>WtFn</t>
  </si>
  <si>
    <t>IGRF   WMM</t>
  </si>
  <si>
    <t>MWD: Declination - Global</t>
  </si>
  <si>
    <t>G</t>
  </si>
  <si>
    <t>AZ</t>
  </si>
  <si>
    <t>Exisitng term ….</t>
  </si>
  <si>
    <t>W</t>
  </si>
  <si>
    <t>gets replaced by these terms</t>
  </si>
  <si>
    <t>MWD: Declination Crustal Commission HD Models</t>
  </si>
  <si>
    <t>DEC-CH</t>
  </si>
  <si>
    <t>MWD: Declination Crustal Commission IFR Models</t>
  </si>
  <si>
    <t>DEC-CI</t>
  </si>
  <si>
    <t>MWD: Declination - Random</t>
  </si>
  <si>
    <t>DECR</t>
  </si>
  <si>
    <t>R</t>
  </si>
  <si>
    <t>Retain existing random term</t>
  </si>
  <si>
    <t>MWD: BH-Dependent Declination - Global</t>
  </si>
  <si>
    <t>DBH</t>
  </si>
  <si>
    <t>MWD BH-Dependent Declination  Crustal Commission HD Models</t>
  </si>
  <si>
    <t>DBH-CH</t>
  </si>
  <si>
    <t>MWD BH-Dependent Declination  Crustal Commission IFR Models</t>
  </si>
  <si>
    <t>DBH-CI</t>
  </si>
  <si>
    <t>DBHR</t>
  </si>
  <si>
    <t>MWD: Total Magnetic Field with Z-Axis Corr - Global</t>
  </si>
  <si>
    <t>MDI</t>
  </si>
  <si>
    <t>MWD: Total Magnetic Field with Z-Axis Corr - Crustal Commission HD Models</t>
  </si>
  <si>
    <t>MFI-CH</t>
  </si>
  <si>
    <t>MWD: Total Magnetic Field with Z-Axis Corr - Crustal Commission IFR Models</t>
  </si>
  <si>
    <t>MFI-CI</t>
  </si>
  <si>
    <t>MWD: Total Magnetic Field with Z-Axis Corr - Random</t>
  </si>
  <si>
    <t>MFIR</t>
  </si>
  <si>
    <t>MWD: Magnetic Dip with Z-Axis Corr - Global</t>
  </si>
  <si>
    <t>MWD: Magnetic Dip with Z-Axis Corr - Crustal Commission HD Models</t>
  </si>
  <si>
    <t>MDI-CH</t>
  </si>
  <si>
    <t>MWD: Magnetic Dip with Z-Axis Corr - Crustal Commission IFR Models</t>
  </si>
  <si>
    <t>MDI-CI</t>
  </si>
  <si>
    <t>MWD: Magnetic Dip with Z-Axis Corr - Random</t>
  </si>
  <si>
    <t>MDIR</t>
  </si>
  <si>
    <t>MFI</t>
  </si>
  <si>
    <t>MWD: Declination Uncorrelated Errors</t>
  </si>
  <si>
    <t>MWD BH-Dependent Declination  Unccorrelated Errors</t>
  </si>
  <si>
    <t>MWD: Total Magnetic Field with Z-Axis Corr - Uncorrelated Errors</t>
  </si>
  <si>
    <t>MWD: Magnetic Dip with Z-Axis Corr - Uncorrelated Errors</t>
  </si>
  <si>
    <t>MDI-U</t>
  </si>
  <si>
    <t>MFI-U</t>
  </si>
  <si>
    <t>DBH-U</t>
  </si>
  <si>
    <t>DEC-U</t>
  </si>
  <si>
    <t>DEC-OH</t>
  </si>
  <si>
    <t>DEC-OS</t>
  </si>
  <si>
    <t>DEC-OI</t>
  </si>
  <si>
    <t>MWD: Declination Crustal Omission Standard Models</t>
  </si>
  <si>
    <t>MWD: Declination Crustal Omission HD Models</t>
  </si>
  <si>
    <t>MWD: Declination Crustal Omission IFR Models</t>
  </si>
  <si>
    <t>DBH-OS</t>
  </si>
  <si>
    <t>DBH-OH</t>
  </si>
  <si>
    <t>DBH-OI</t>
  </si>
  <si>
    <t>MWD: BH-Dependent Declination Crustal Omission Standard Models</t>
  </si>
  <si>
    <t>MWD: BH-Dependent Declination Crustal Omission HD Models</t>
  </si>
  <si>
    <t>MWD: BH-Dependent Declination Crustal Omission IFR Models</t>
  </si>
  <si>
    <t>MWD: Total Magnetic Field with Z-Axis Corr - Crustal Omission HD Models</t>
  </si>
  <si>
    <t>MWD: Total Magnetic Field with Z-Axis Corr -  Crustal Omission IFR Models</t>
  </si>
  <si>
    <t>MFI-OH</t>
  </si>
  <si>
    <t>MWD: Magnetic Dip with Z-Axis Corr -  Crustal Omission IFR Models</t>
  </si>
  <si>
    <t>MWD: Magnetic Dip with Z-Axis Corr - Crustal Omission HD Models</t>
  </si>
  <si>
    <t>MDI-OH</t>
  </si>
  <si>
    <t>MFI-OS</t>
  </si>
  <si>
    <t>MDI-OS</t>
  </si>
  <si>
    <t>Notes on how to create a set of values for correlation vectors</t>
  </si>
  <si>
    <t>The main field error is uncorrelated in all scenarios and goes into -U</t>
  </si>
  <si>
    <t>Stefan's disturbance contribution is also uncorrelated and goes into -U (RSS with above)</t>
  </si>
  <si>
    <t>Crustal commission error is only correlated between similar models so we have -C option for each model type. Only applies to HD and IFR models</t>
  </si>
  <si>
    <t>Crustal ommission error is partially correlated</t>
  </si>
  <si>
    <t>Where Stefan has reduced the overall correlation level, factor the uncorrelated part into -U as well (RSS it)</t>
  </si>
  <si>
    <t>To work the correlations start with IFR and set it's value. This gets copied across all models</t>
  </si>
  <si>
    <t>Then go to HD and add a new term, such that it's value RSS() with the others  is corrected for H to H model correlations</t>
  </si>
  <si>
    <t>Then go to SD and add another new term, such that's value RSS() with the others in that model gives the correct values for S to S correlation</t>
  </si>
  <si>
    <t>Repeat last step for IGRF</t>
  </si>
  <si>
    <t>MFI-OI</t>
  </si>
  <si>
    <t>MDI-OI</t>
  </si>
  <si>
    <t>Standard Models</t>
  </si>
  <si>
    <t>High Def  Models</t>
  </si>
  <si>
    <t>MWD: Total Magnetic Field with Z-Axis Corr - Crustal Omission Standard Models</t>
  </si>
  <si>
    <t>MWD: Magnetic Dip with Z-Axis Corr - Crustal Omission Standard Models</t>
  </si>
  <si>
    <t>1-year High Definition (BGGM2019+, HDGM, MVHD)</t>
  </si>
  <si>
    <t>1-year Standard Definition (MVSD)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</si>
</sst>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2" x14ac:knownFonts="1">
    <font>
      <sz val="11"/>
      <color theme="1"/>
      <name val="Calibri"/>
      <family val="2"/>
      <scheme val="minor"/>
    </font>
    <font>
      <b/>
      <sz val="11"/>
      <color theme="1"/>
      <name val="Calibri"/>
      <family val="2"/>
      <scheme val="minor"/>
    </font>
    <font>
      <sz val="11"/>
      <name val="Calibri"/>
      <family val="2"/>
      <scheme val="minor"/>
    </font>
    <font>
      <sz val="11"/>
      <color rgb="FF00B050"/>
      <name val="Calibri"/>
      <family val="2"/>
      <scheme val="minor"/>
    </font>
    <font>
      <sz val="11"/>
      <color rgb="FF0070C0"/>
      <name val="Calibri"/>
      <family val="2"/>
      <scheme val="minor"/>
    </font>
    <font>
      <sz val="11"/>
      <color rgb="FF000000"/>
      <name val="Calibri"/>
      <family val="2"/>
    </font>
    <font>
      <sz val="11"/>
      <color rgb="FF7030A0"/>
      <name val="Calibri"/>
      <family val="2"/>
      <scheme val="minor"/>
    </font>
    <font>
      <b/>
      <sz val="11"/>
      <color rgb="FF7030A0"/>
      <name val="Calibri"/>
      <family val="2"/>
      <scheme val="minor"/>
    </font>
    <font>
      <b/>
      <sz val="11"/>
      <color rgb="FFFF0000"/>
      <name val="Calibri"/>
      <family val="2"/>
      <scheme val="minor"/>
    </font>
    <font>
      <sz val="11"/>
      <color theme="7" tint="-0.249977111117893"/>
      <name val="Calibri"/>
      <family val="2"/>
      <scheme val="minor"/>
    </font>
    <font>
      <b/>
      <sz val="11"/>
      <color theme="7" tint="-0.249977111117893"/>
      <name val="Calibri"/>
      <family val="2"/>
      <scheme val="minor"/>
    </font>
    <font>
      <sz val="11"/>
      <color rgb="FFC00000"/>
      <name val="Calibri"/>
      <family val="2"/>
      <scheme val="minor"/>
    </font>
  </fonts>
  <fills count="13">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2DCDB"/>
        <bgColor indexed="64"/>
      </patternFill>
    </fill>
  </fills>
  <borders count="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22"/>
      </right>
      <top style="thin">
        <color indexed="22"/>
      </top>
      <bottom style="thin">
        <color indexed="22"/>
      </bottom>
      <diagonal/>
    </border>
  </borders>
  <cellStyleXfs count="1">
    <xf numFmtId="0" fontId="0" fillId="0" borderId="0"/>
  </cellStyleXfs>
  <cellXfs count="99">
    <xf numFmtId="0" fontId="0" fillId="0" borderId="0" xfId="0"/>
    <xf numFmtId="0" fontId="1" fillId="0" borderId="0" xfId="0" applyFont="1"/>
    <xf numFmtId="0" fontId="3" fillId="0" borderId="0" xfId="0" applyFont="1"/>
    <xf numFmtId="0" fontId="4" fillId="0" borderId="0" xfId="0" applyFont="1"/>
    <xf numFmtId="2" fontId="3" fillId="0" borderId="0" xfId="0" applyNumberFormat="1" applyFont="1"/>
    <xf numFmtId="2" fontId="0" fillId="0" borderId="0" xfId="0" applyNumberFormat="1"/>
    <xf numFmtId="1" fontId="0" fillId="0" borderId="0" xfId="0" applyNumberFormat="1"/>
    <xf numFmtId="0" fontId="0" fillId="0" borderId="1" xfId="0" applyBorder="1"/>
    <xf numFmtId="2" fontId="3" fillId="0" borderId="1" xfId="0" applyNumberFormat="1" applyFont="1" applyBorder="1"/>
    <xf numFmtId="0" fontId="3" fillId="0" borderId="1" xfId="0" applyFont="1" applyBorder="1"/>
    <xf numFmtId="0" fontId="4" fillId="0" borderId="1" xfId="0" applyFont="1" applyBorder="1"/>
    <xf numFmtId="0" fontId="1" fillId="0" borderId="1" xfId="0" applyFont="1" applyBorder="1"/>
    <xf numFmtId="0" fontId="0" fillId="0" borderId="2" xfId="0" applyBorder="1"/>
    <xf numFmtId="0" fontId="0" fillId="0" borderId="3" xfId="0" applyBorder="1"/>
    <xf numFmtId="0" fontId="0" fillId="0" borderId="4" xfId="0" applyBorder="1"/>
    <xf numFmtId="1" fontId="3" fillId="0" borderId="0" xfId="0" applyNumberFormat="1" applyFont="1"/>
    <xf numFmtId="0" fontId="4" fillId="0" borderId="3" xfId="0" applyFont="1" applyBorder="1"/>
    <xf numFmtId="0" fontId="4" fillId="0" borderId="2" xfId="0" applyFont="1" applyBorder="1"/>
    <xf numFmtId="0" fontId="1" fillId="0" borderId="2" xfId="0" applyFont="1" applyBorder="1"/>
    <xf numFmtId="0" fontId="2" fillId="0" borderId="0" xfId="0" applyFont="1"/>
    <xf numFmtId="0" fontId="2" fillId="0" borderId="3" xfId="0" applyFont="1" applyBorder="1"/>
    <xf numFmtId="1" fontId="0" fillId="0" borderId="2" xfId="0" applyNumberFormat="1" applyBorder="1"/>
    <xf numFmtId="1" fontId="0" fillId="3" borderId="0" xfId="0" applyNumberFormat="1" applyFill="1"/>
    <xf numFmtId="1" fontId="0" fillId="2" borderId="0" xfId="0" applyNumberFormat="1" applyFill="1"/>
    <xf numFmtId="1" fontId="0" fillId="4" borderId="0" xfId="0" applyNumberFormat="1" applyFill="1"/>
    <xf numFmtId="1" fontId="0" fillId="6" borderId="0" xfId="0" applyNumberFormat="1" applyFill="1"/>
    <xf numFmtId="1" fontId="0" fillId="7" borderId="0" xfId="0" applyNumberFormat="1" applyFill="1"/>
    <xf numFmtId="1" fontId="0" fillId="8" borderId="0" xfId="0" applyNumberFormat="1" applyFill="1"/>
    <xf numFmtId="1" fontId="0" fillId="9" borderId="0" xfId="0" applyNumberFormat="1" applyFill="1"/>
    <xf numFmtId="1" fontId="0" fillId="9" borderId="2" xfId="0" applyNumberFormat="1" applyFill="1" applyBorder="1"/>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horizontal="center"/>
    </xf>
    <xf numFmtId="0" fontId="0" fillId="10" borderId="5" xfId="0" applyFill="1" applyBorder="1"/>
    <xf numFmtId="0" fontId="0" fillId="10" borderId="0" xfId="0" applyFill="1"/>
    <xf numFmtId="0" fontId="0" fillId="10" borderId="0" xfId="0" applyFill="1" applyAlignment="1">
      <alignment horizontal="center"/>
    </xf>
    <xf numFmtId="0" fontId="0" fillId="11" borderId="0" xfId="0" applyFill="1"/>
    <xf numFmtId="0" fontId="5" fillId="12" borderId="0" xfId="0" applyFont="1" applyFill="1" applyAlignment="1">
      <alignment vertical="center"/>
    </xf>
    <xf numFmtId="0" fontId="0" fillId="11" borderId="0" xfId="0" applyFill="1" applyAlignment="1">
      <alignment horizontal="center"/>
    </xf>
    <xf numFmtId="2" fontId="0" fillId="11" borderId="0" xfId="0" applyNumberFormat="1" applyFill="1" applyAlignment="1">
      <alignment horizontal="center"/>
    </xf>
    <xf numFmtId="2" fontId="0" fillId="11" borderId="0" xfId="0" quotePrefix="1" applyNumberFormat="1" applyFill="1" applyAlignment="1">
      <alignment horizontal="center"/>
    </xf>
    <xf numFmtId="2" fontId="0" fillId="0" borderId="0" xfId="0" applyNumberFormat="1" applyAlignment="1">
      <alignment horizontal="center"/>
    </xf>
    <xf numFmtId="1" fontId="0" fillId="11" borderId="0" xfId="0" applyNumberFormat="1" applyFill="1" applyAlignment="1">
      <alignment horizontal="center"/>
    </xf>
    <xf numFmtId="1" fontId="0" fillId="0" borderId="0" xfId="0" applyNumberFormat="1" applyAlignment="1">
      <alignment horizontal="center"/>
    </xf>
    <xf numFmtId="1" fontId="0" fillId="11" borderId="0" xfId="0" quotePrefix="1" applyNumberFormat="1" applyFill="1" applyAlignment="1">
      <alignment horizontal="center"/>
    </xf>
    <xf numFmtId="0" fontId="0" fillId="0" borderId="6" xfId="0" applyBorder="1" applyAlignment="1">
      <alignment horizontal="center"/>
    </xf>
    <xf numFmtId="0" fontId="0" fillId="0" borderId="5" xfId="0" applyBorder="1"/>
    <xf numFmtId="0" fontId="0" fillId="0" borderId="5" xfId="0" applyBorder="1" applyAlignment="1">
      <alignment horizontal="center"/>
    </xf>
    <xf numFmtId="0" fontId="6" fillId="0" borderId="0" xfId="0" applyFont="1"/>
    <xf numFmtId="0" fontId="7" fillId="0" borderId="0" xfId="0" applyFont="1"/>
    <xf numFmtId="2" fontId="0" fillId="0" borderId="0" xfId="0" applyNumberFormat="1" applyAlignment="1">
      <alignment horizontal="left"/>
    </xf>
    <xf numFmtId="0" fontId="8" fillId="0" borderId="0" xfId="0" applyFont="1"/>
    <xf numFmtId="0" fontId="0" fillId="0" borderId="2" xfId="0" applyBorder="1" applyAlignment="1">
      <alignment horizontal="center"/>
    </xf>
    <xf numFmtId="0" fontId="0" fillId="0" borderId="3" xfId="0" applyBorder="1" applyAlignment="1">
      <alignment horizontal="center"/>
    </xf>
    <xf numFmtId="9" fontId="0" fillId="0" borderId="0" xfId="0" applyNumberFormat="1" applyAlignment="1">
      <alignment horizontal="center"/>
    </xf>
    <xf numFmtId="9" fontId="0" fillId="0" borderId="4" xfId="0" applyNumberFormat="1" applyBorder="1" applyAlignment="1">
      <alignment horizontal="center"/>
    </xf>
    <xf numFmtId="9" fontId="0" fillId="0" borderId="2" xfId="0" applyNumberFormat="1" applyBorder="1" applyAlignment="1">
      <alignment horizontal="center"/>
    </xf>
    <xf numFmtId="9" fontId="0" fillId="0" borderId="3" xfId="0" applyNumberFormat="1" applyBorder="1" applyAlignment="1">
      <alignment horizontal="center"/>
    </xf>
    <xf numFmtId="0" fontId="0" fillId="0" borderId="0" xfId="0" applyAlignment="1">
      <alignment horizontal="right"/>
    </xf>
    <xf numFmtId="2" fontId="0" fillId="0" borderId="0" xfId="0" applyNumberFormat="1" applyAlignment="1">
      <alignment horizontal="right"/>
    </xf>
    <xf numFmtId="0" fontId="9" fillId="0" borderId="0" xfId="0" applyFont="1"/>
    <xf numFmtId="0" fontId="10" fillId="0" borderId="0" xfId="0" applyFont="1"/>
    <xf numFmtId="2" fontId="9" fillId="0" borderId="0" xfId="0" applyNumberFormat="1" applyFont="1"/>
    <xf numFmtId="2" fontId="9" fillId="0" borderId="0" xfId="0" applyNumberFormat="1" applyFont="1" applyAlignment="1">
      <alignment horizontal="right"/>
    </xf>
    <xf numFmtId="0" fontId="9" fillId="0" borderId="0" xfId="0" applyFont="1" applyAlignment="1">
      <alignment horizontal="right"/>
    </xf>
    <xf numFmtId="0" fontId="11" fillId="0" borderId="2" xfId="0" applyFont="1" applyBorder="1"/>
    <xf numFmtId="0" fontId="11" fillId="0" borderId="2" xfId="0" applyFont="1" applyBorder="1" applyAlignment="1">
      <alignment horizontal="right"/>
    </xf>
    <xf numFmtId="0" fontId="11" fillId="0" borderId="4" xfId="0" applyFont="1" applyBorder="1"/>
    <xf numFmtId="2" fontId="11" fillId="0" borderId="0" xfId="0" applyNumberFormat="1" applyFont="1"/>
    <xf numFmtId="0" fontId="11" fillId="0" borderId="1" xfId="0" applyFont="1" applyBorder="1"/>
    <xf numFmtId="0" fontId="11" fillId="0" borderId="0" xfId="0" applyFont="1"/>
    <xf numFmtId="0" fontId="0" fillId="11" borderId="5" xfId="0" applyFill="1" applyBorder="1"/>
    <xf numFmtId="0" fontId="0" fillId="0" borderId="0" xfId="0" quotePrefix="1"/>
    <xf numFmtId="2" fontId="0" fillId="0" borderId="0" xfId="0" quotePrefix="1" applyNumberFormat="1" applyAlignment="1">
      <alignment horizontal="right"/>
    </xf>
    <xf numFmtId="2" fontId="2" fillId="11" borderId="0" xfId="0" applyNumberFormat="1" applyFont="1" applyFill="1" applyAlignment="1">
      <alignment horizontal="center"/>
    </xf>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1" fontId="3" fillId="0" borderId="0" xfId="0" applyNumberFormat="1" applyFont="1" applyAlignment="1">
      <alignment horizontal="center"/>
    </xf>
    <xf numFmtId="0" fontId="4" fillId="0" borderId="2" xfId="0" applyFont="1" applyBorder="1" applyAlignment="1">
      <alignment horizontal="center"/>
    </xf>
    <xf numFmtId="0" fontId="7" fillId="0" borderId="0" xfId="0" applyFont="1" applyAlignment="1">
      <alignment horizontal="center"/>
    </xf>
    <xf numFmtId="164" fontId="0" fillId="0" borderId="0" xfId="0" applyNumberFormat="1" applyAlignment="1">
      <alignment horizontal="center"/>
    </xf>
    <xf numFmtId="165" fontId="0" fillId="0" borderId="0" xfId="0" applyNumberFormat="1"/>
    <xf numFmtId="0" fontId="1" fillId="10" borderId="0" xfId="0" applyFont="1" applyFill="1" applyAlignment="1">
      <alignment horizontal="left"/>
    </xf>
    <xf numFmtId="2" fontId="1" fillId="11" borderId="0" xfId="0" applyNumberFormat="1" applyFont="1" applyFill="1" applyAlignment="1">
      <alignment horizontal="left"/>
    </xf>
    <xf numFmtId="2" fontId="1" fillId="11" borderId="0" xfId="0" quotePrefix="1" applyNumberFormat="1" applyFont="1" applyFill="1" applyAlignment="1">
      <alignment horizontal="left"/>
    </xf>
    <xf numFmtId="0" fontId="1" fillId="11" borderId="0" xfId="0" applyFont="1" applyFill="1" applyAlignment="1">
      <alignment horizontal="left"/>
    </xf>
    <xf numFmtId="0" fontId="1" fillId="0" borderId="0" xfId="0" applyFont="1" applyAlignment="1">
      <alignment horizontal="center"/>
    </xf>
    <xf numFmtId="0" fontId="0" fillId="0" borderId="0" xfId="0" applyAlignment="1">
      <alignment wrapText="1"/>
    </xf>
    <xf numFmtId="0" fontId="0" fillId="5" borderId="0" xfId="0" applyFill="1" applyAlignment="1">
      <alignment wrapText="1"/>
    </xf>
    <xf numFmtId="0" fontId="0" fillId="8" borderId="0" xfId="0" applyFill="1" applyAlignment="1">
      <alignment wrapText="1"/>
    </xf>
    <xf numFmtId="0" fontId="0" fillId="7" borderId="0" xfId="0" applyFill="1" applyAlignment="1">
      <alignment wrapText="1"/>
    </xf>
    <xf numFmtId="0" fontId="0" fillId="3" borderId="0" xfId="0" applyFill="1" applyAlignment="1">
      <alignment wrapText="1"/>
    </xf>
    <xf numFmtId="0" fontId="0" fillId="2" borderId="0" xfId="0" applyFill="1" applyAlignment="1">
      <alignment wrapText="1"/>
    </xf>
    <xf numFmtId="0" fontId="0" fillId="4" borderId="0" xfId="0" applyFill="1" applyAlignment="1">
      <alignment wrapText="1"/>
    </xf>
    <xf numFmtId="0" fontId="0" fillId="6" borderId="0" xfId="0" applyFill="1" applyAlignment="1">
      <alignment wrapText="1"/>
    </xf>
    <xf numFmtId="0" fontId="0" fillId="0" borderId="0" xfId="0" applyAlignment="1">
      <alignment horizontal="center"/>
    </xf>
    <xf numFmtId="0" fontId="2" fillId="11" borderId="0" xfId="0" applyFont="1" applyFill="1" applyAlignment="1">
      <alignment horizontal="center"/>
    </xf>
    <xf numFmtId="2" fontId="2" fillId="11" borderId="0" xfId="0" quotePrefix="1"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workbookViewId="0">
      <selection activeCell="J20" sqref="J20"/>
    </sheetView>
  </sheetViews>
  <sheetFormatPr defaultRowHeight="15" x14ac:dyDescent="0.25"/>
  <sheetData>
    <row r="1" spans="1:9" x14ac:dyDescent="0.25">
      <c r="A1" s="87" t="s">
        <v>57</v>
      </c>
      <c r="B1" s="87"/>
      <c r="C1" s="87"/>
      <c r="D1" s="87"/>
      <c r="E1" s="87"/>
      <c r="F1" s="87"/>
      <c r="G1" s="87"/>
      <c r="H1" s="87"/>
      <c r="I1" s="87"/>
    </row>
    <row r="2" spans="1:9" ht="78.75" customHeight="1" x14ac:dyDescent="0.25">
      <c r="A2" s="88" t="s">
        <v>58</v>
      </c>
      <c r="B2" s="88"/>
      <c r="C2" s="88"/>
      <c r="D2" s="88"/>
      <c r="E2" s="88"/>
      <c r="F2" s="88"/>
      <c r="G2" s="88"/>
      <c r="H2" s="88"/>
      <c r="I2" s="88"/>
    </row>
    <row r="3" spans="1:9" ht="53.25" customHeight="1" x14ac:dyDescent="0.25">
      <c r="A3" s="88" t="s">
        <v>62</v>
      </c>
      <c r="B3" s="88"/>
      <c r="C3" s="88"/>
      <c r="D3" s="88"/>
      <c r="E3" s="88"/>
      <c r="F3" s="88"/>
      <c r="G3" s="88"/>
      <c r="H3" s="88"/>
      <c r="I3" s="88"/>
    </row>
    <row r="4" spans="1:9" x14ac:dyDescent="0.25">
      <c r="A4" s="88"/>
      <c r="B4" s="88"/>
      <c r="C4" s="88"/>
      <c r="D4" s="88"/>
      <c r="E4" s="88"/>
      <c r="F4" s="88"/>
      <c r="G4" s="88"/>
      <c r="H4" s="88"/>
      <c r="I4" s="88"/>
    </row>
    <row r="5" spans="1:9" x14ac:dyDescent="0.25">
      <c r="A5" s="88"/>
      <c r="B5" s="88"/>
      <c r="C5" s="88"/>
      <c r="D5" s="88"/>
      <c r="E5" s="88"/>
      <c r="F5" s="88"/>
      <c r="G5" s="88"/>
      <c r="H5" s="88"/>
      <c r="I5" s="88"/>
    </row>
    <row r="7" spans="1:9" x14ac:dyDescent="0.25">
      <c r="A7" s="1" t="s">
        <v>37</v>
      </c>
    </row>
    <row r="8" spans="1:9" x14ac:dyDescent="0.25">
      <c r="A8" s="13"/>
      <c r="B8" s="12" t="s">
        <v>4</v>
      </c>
      <c r="C8" s="12" t="s">
        <v>21</v>
      </c>
      <c r="D8" s="12" t="s">
        <v>24</v>
      </c>
      <c r="E8" s="12" t="s">
        <v>25</v>
      </c>
      <c r="F8" s="12" t="s">
        <v>26</v>
      </c>
      <c r="G8" s="12" t="s">
        <v>27</v>
      </c>
      <c r="H8" s="12" t="s">
        <v>28</v>
      </c>
      <c r="I8" s="12" t="s">
        <v>29</v>
      </c>
    </row>
    <row r="9" spans="1:9" x14ac:dyDescent="0.25">
      <c r="A9" s="14" t="s">
        <v>4</v>
      </c>
      <c r="B9" s="26">
        <v>54.531330287768711</v>
      </c>
      <c r="C9" s="22">
        <v>65.540142105402637</v>
      </c>
      <c r="D9" s="6">
        <v>33.5043721129652</v>
      </c>
      <c r="E9" s="6">
        <v>33.5043721129652</v>
      </c>
      <c r="F9" s="6">
        <v>2.6563659570056299</v>
      </c>
      <c r="G9" s="6">
        <v>2.6563659570056299</v>
      </c>
      <c r="H9" s="6">
        <v>2.6207662590617011</v>
      </c>
      <c r="I9" s="6">
        <v>2.6207662590617011</v>
      </c>
    </row>
    <row r="10" spans="1:9" x14ac:dyDescent="0.25">
      <c r="A10" s="7" t="s">
        <v>21</v>
      </c>
      <c r="B10" s="6"/>
      <c r="C10" s="27">
        <v>78.772898171597646</v>
      </c>
      <c r="D10" s="6">
        <v>40.267699103502089</v>
      </c>
      <c r="E10" s="6">
        <v>40.267699103502089</v>
      </c>
      <c r="F10" s="6">
        <v>3.1897179601139594</v>
      </c>
      <c r="G10" s="6">
        <v>3.1897179601139594</v>
      </c>
      <c r="H10" s="6">
        <v>3.1478764552706555</v>
      </c>
      <c r="I10" s="6">
        <v>3.1478764552706555</v>
      </c>
    </row>
    <row r="11" spans="1:9" x14ac:dyDescent="0.25">
      <c r="A11" s="7" t="s">
        <v>24</v>
      </c>
      <c r="B11" s="6"/>
      <c r="C11" s="6"/>
      <c r="D11" s="23">
        <v>68.289242981828224</v>
      </c>
      <c r="E11" s="23">
        <v>49.106871357719164</v>
      </c>
      <c r="F11" s="6">
        <v>3.9004182018562474</v>
      </c>
      <c r="G11" s="6">
        <v>3.9004182018562474</v>
      </c>
      <c r="H11" s="6">
        <v>3.8421511868909226</v>
      </c>
      <c r="I11" s="6">
        <v>3.8421511868909226</v>
      </c>
    </row>
    <row r="12" spans="1:9" x14ac:dyDescent="0.25">
      <c r="A12" s="7" t="s">
        <v>25</v>
      </c>
      <c r="B12" s="6"/>
      <c r="C12" s="6"/>
      <c r="D12" s="6"/>
      <c r="E12" s="23">
        <v>68.289242981828224</v>
      </c>
      <c r="F12" s="6">
        <v>3.9004182018562474</v>
      </c>
      <c r="G12" s="6">
        <v>3.9004182018562474</v>
      </c>
      <c r="H12" s="6">
        <v>3.8421511868909226</v>
      </c>
      <c r="I12" s="6">
        <v>3.8421511868909226</v>
      </c>
    </row>
    <row r="13" spans="1:9" x14ac:dyDescent="0.25">
      <c r="A13" s="7" t="s">
        <v>26</v>
      </c>
      <c r="B13" s="6"/>
      <c r="C13" s="6"/>
      <c r="D13" s="6"/>
      <c r="E13" s="6"/>
      <c r="F13" s="24">
        <v>38.692033333333328</v>
      </c>
      <c r="G13" s="6">
        <v>7.7384066666666671</v>
      </c>
      <c r="H13" s="25">
        <v>39.078207777777777</v>
      </c>
      <c r="I13" s="6">
        <v>7.8156415555555556</v>
      </c>
    </row>
    <row r="14" spans="1:9" x14ac:dyDescent="0.25">
      <c r="A14" s="7" t="s">
        <v>27</v>
      </c>
      <c r="B14" s="6"/>
      <c r="C14" s="6"/>
      <c r="D14" s="6"/>
      <c r="E14" s="6"/>
      <c r="F14" s="6"/>
      <c r="G14" s="24">
        <v>38.692033333333328</v>
      </c>
      <c r="H14" s="6">
        <v>7.8156415555555556</v>
      </c>
      <c r="I14" s="25">
        <v>39.078207777777777</v>
      </c>
    </row>
    <row r="15" spans="1:9" x14ac:dyDescent="0.25">
      <c r="A15" s="7" t="s">
        <v>28</v>
      </c>
      <c r="B15" s="6"/>
      <c r="C15" s="6"/>
      <c r="D15" s="6"/>
      <c r="E15" s="6"/>
      <c r="F15" s="6"/>
      <c r="G15" s="6"/>
      <c r="H15" s="28">
        <v>44.183589765432096</v>
      </c>
      <c r="I15" s="6">
        <v>8.8367179530864188</v>
      </c>
    </row>
    <row r="16" spans="1:9" x14ac:dyDescent="0.25">
      <c r="A16" s="13" t="s">
        <v>29</v>
      </c>
      <c r="B16" s="21"/>
      <c r="C16" s="21"/>
      <c r="D16" s="21"/>
      <c r="E16" s="21"/>
      <c r="F16" s="21"/>
      <c r="G16" s="21"/>
      <c r="H16" s="21"/>
      <c r="I16" s="29">
        <v>44.183589765432096</v>
      </c>
    </row>
    <row r="18" spans="1:9" x14ac:dyDescent="0.25">
      <c r="A18" s="1" t="s">
        <v>46</v>
      </c>
    </row>
    <row r="19" spans="1:9" ht="45" customHeight="1" x14ac:dyDescent="0.25">
      <c r="A19" s="90" t="s">
        <v>59</v>
      </c>
      <c r="B19" s="90"/>
      <c r="C19" s="90"/>
      <c r="D19" s="90"/>
      <c r="E19" s="90"/>
      <c r="F19" s="90"/>
      <c r="G19" s="90"/>
      <c r="H19" s="90"/>
      <c r="I19" s="90"/>
    </row>
    <row r="20" spans="1:9" ht="45" customHeight="1" x14ac:dyDescent="0.25">
      <c r="A20" s="91" t="s">
        <v>60</v>
      </c>
      <c r="B20" s="91"/>
      <c r="C20" s="91"/>
      <c r="D20" s="91"/>
      <c r="E20" s="91"/>
      <c r="F20" s="91"/>
      <c r="G20" s="91"/>
      <c r="H20" s="91"/>
      <c r="I20" s="91"/>
    </row>
    <row r="21" spans="1:9" ht="31.9" customHeight="1" x14ac:dyDescent="0.25">
      <c r="A21" s="92" t="s">
        <v>47</v>
      </c>
      <c r="B21" s="92"/>
      <c r="C21" s="92"/>
      <c r="D21" s="92"/>
      <c r="E21" s="92"/>
      <c r="F21" s="92"/>
      <c r="G21" s="92"/>
      <c r="H21" s="92"/>
      <c r="I21" s="92"/>
    </row>
    <row r="22" spans="1:9" ht="136.5" customHeight="1" x14ac:dyDescent="0.25">
      <c r="A22" s="93" t="s">
        <v>63</v>
      </c>
      <c r="B22" s="93"/>
      <c r="C22" s="93"/>
      <c r="D22" s="93"/>
      <c r="E22" s="93"/>
      <c r="F22" s="93"/>
      <c r="G22" s="93"/>
      <c r="H22" s="93"/>
      <c r="I22" s="93"/>
    </row>
    <row r="23" spans="1:9" ht="93" customHeight="1" x14ac:dyDescent="0.25">
      <c r="A23" s="94" t="s">
        <v>61</v>
      </c>
      <c r="B23" s="94"/>
      <c r="C23" s="94"/>
      <c r="D23" s="94"/>
      <c r="E23" s="94"/>
      <c r="F23" s="94"/>
      <c r="G23" s="94"/>
      <c r="H23" s="94"/>
      <c r="I23" s="94"/>
    </row>
    <row r="24" spans="1:9" ht="48.6" customHeight="1" x14ac:dyDescent="0.25">
      <c r="A24" s="89" t="s">
        <v>48</v>
      </c>
      <c r="B24" s="89"/>
      <c r="C24" s="89"/>
      <c r="D24" s="89"/>
      <c r="E24" s="89"/>
      <c r="F24" s="89"/>
      <c r="G24" s="89"/>
      <c r="H24" s="89"/>
      <c r="I24" s="89"/>
    </row>
    <row r="25" spans="1:9" ht="61.9" customHeight="1" x14ac:dyDescent="0.25">
      <c r="A25" s="95" t="s">
        <v>64</v>
      </c>
      <c r="B25" s="95"/>
      <c r="C25" s="95"/>
      <c r="D25" s="95"/>
      <c r="E25" s="95"/>
      <c r="F25" s="95"/>
      <c r="G25" s="95"/>
      <c r="H25" s="95"/>
      <c r="I25" s="95"/>
    </row>
    <row r="26" spans="1:9" x14ac:dyDescent="0.25">
      <c r="A26" s="88"/>
      <c r="B26" s="88"/>
      <c r="C26" s="88"/>
      <c r="D26" s="88"/>
      <c r="E26" s="88"/>
      <c r="F26" s="88"/>
      <c r="G26" s="88"/>
      <c r="H26" s="88"/>
      <c r="I26" s="88"/>
    </row>
    <row r="27" spans="1:9" x14ac:dyDescent="0.25">
      <c r="A27" s="88"/>
      <c r="B27" s="88"/>
      <c r="C27" s="88"/>
      <c r="D27" s="88"/>
      <c r="E27" s="88"/>
      <c r="F27" s="88"/>
      <c r="G27" s="88"/>
      <c r="H27" s="88"/>
      <c r="I27" s="88"/>
    </row>
    <row r="28" spans="1:9" x14ac:dyDescent="0.25">
      <c r="A28" s="88"/>
      <c r="B28" s="88"/>
      <c r="C28" s="88"/>
      <c r="D28" s="88"/>
      <c r="E28" s="88"/>
      <c r="F28" s="88"/>
      <c r="G28" s="88"/>
      <c r="H28" s="88"/>
      <c r="I28" s="88"/>
    </row>
  </sheetData>
  <mergeCells count="15">
    <mergeCell ref="A26:I26"/>
    <mergeCell ref="A27:I27"/>
    <mergeCell ref="A28:I28"/>
    <mergeCell ref="A24:I24"/>
    <mergeCell ref="A19:I19"/>
    <mergeCell ref="A20:I20"/>
    <mergeCell ref="A21:I21"/>
    <mergeCell ref="A22:I22"/>
    <mergeCell ref="A23:I23"/>
    <mergeCell ref="A25:I25"/>
    <mergeCell ref="A1:I1"/>
    <mergeCell ref="A2:I2"/>
    <mergeCell ref="A3:I3"/>
    <mergeCell ref="A4:I4"/>
    <mergeCell ref="A5:I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4"/>
  <sheetViews>
    <sheetView topLeftCell="A70" workbookViewId="0">
      <selection activeCell="D66" sqref="D66"/>
    </sheetView>
  </sheetViews>
  <sheetFormatPr defaultRowHeight="15" x14ac:dyDescent="0.25"/>
  <cols>
    <col min="1" max="1" width="33.85546875" customWidth="1"/>
    <col min="2" max="2" width="9.140625" bestFit="1" customWidth="1"/>
    <col min="3" max="3" width="10.7109375" bestFit="1" customWidth="1"/>
    <col min="4" max="4" width="9.5703125" bestFit="1" customWidth="1"/>
    <col min="5" max="5" width="9.140625" bestFit="1" customWidth="1"/>
    <col min="6" max="6" width="9" bestFit="1" customWidth="1"/>
    <col min="7" max="7" width="10.5703125" bestFit="1" customWidth="1"/>
    <col min="8" max="8" width="9.5703125" bestFit="1" customWidth="1"/>
    <col min="9" max="9" width="9" bestFit="1" customWidth="1"/>
    <col min="10" max="10" width="9.140625" bestFit="1" customWidth="1"/>
    <col min="11" max="11" width="20.140625" customWidth="1"/>
    <col min="12" max="14" width="9.140625" bestFit="1" customWidth="1"/>
    <col min="15" max="15" width="10.5703125" bestFit="1" customWidth="1"/>
    <col min="16" max="18" width="9.140625" bestFit="1" customWidth="1"/>
    <col min="19" max="19" width="10.5703125" bestFit="1" customWidth="1"/>
    <col min="20" max="21" width="9.140625" bestFit="1" customWidth="1"/>
  </cols>
  <sheetData>
    <row r="1" spans="1:21" x14ac:dyDescent="0.25">
      <c r="B1" s="1" t="s">
        <v>5</v>
      </c>
      <c r="C1" s="1"/>
      <c r="D1" s="1"/>
      <c r="E1" s="11"/>
      <c r="F1" s="1" t="s">
        <v>7</v>
      </c>
      <c r="G1" s="1"/>
      <c r="H1" s="1"/>
      <c r="I1" s="11"/>
      <c r="J1" s="1" t="s">
        <v>8</v>
      </c>
      <c r="K1" s="1"/>
      <c r="L1" s="1"/>
      <c r="M1" s="11"/>
      <c r="N1" s="1" t="s">
        <v>9</v>
      </c>
      <c r="O1" s="1"/>
      <c r="P1" s="1"/>
      <c r="Q1" s="11"/>
      <c r="R1" s="1" t="s">
        <v>30</v>
      </c>
      <c r="S1" s="1"/>
      <c r="T1" s="1"/>
    </row>
    <row r="2" spans="1:21" x14ac:dyDescent="0.25">
      <c r="A2" s="12" t="s">
        <v>17</v>
      </c>
      <c r="B2" s="12" t="s">
        <v>0</v>
      </c>
      <c r="C2" s="12" t="s">
        <v>1</v>
      </c>
      <c r="D2" s="12" t="s">
        <v>2</v>
      </c>
      <c r="E2" s="13" t="s">
        <v>3</v>
      </c>
      <c r="F2" s="12" t="s">
        <v>0</v>
      </c>
      <c r="G2" s="12" t="s">
        <v>1</v>
      </c>
      <c r="H2" s="12" t="s">
        <v>2</v>
      </c>
      <c r="I2" s="13" t="s">
        <v>3</v>
      </c>
      <c r="J2" s="12" t="s">
        <v>0</v>
      </c>
      <c r="K2" s="12" t="s">
        <v>1</v>
      </c>
      <c r="L2" s="12" t="s">
        <v>2</v>
      </c>
      <c r="M2" s="13" t="s">
        <v>3</v>
      </c>
      <c r="N2" s="12" t="s">
        <v>0</v>
      </c>
      <c r="O2" s="12" t="s">
        <v>1</v>
      </c>
      <c r="P2" s="12" t="s">
        <v>2</v>
      </c>
      <c r="Q2" s="13" t="s">
        <v>3</v>
      </c>
      <c r="R2" s="12" t="s">
        <v>0</v>
      </c>
      <c r="S2" s="12" t="s">
        <v>1</v>
      </c>
      <c r="T2" s="12" t="s">
        <v>2</v>
      </c>
      <c r="U2" s="12" t="s">
        <v>3</v>
      </c>
    </row>
    <row r="3" spans="1:21" x14ac:dyDescent="0.25">
      <c r="A3" s="7" t="s">
        <v>38</v>
      </c>
      <c r="B3" s="4">
        <f>SQRT(B7*B7-F7*F7+F3*F3)</f>
        <v>0.23853720883753124</v>
      </c>
      <c r="C3" s="15">
        <f t="shared" ref="C3:E3" si="0">SQRT(C7*C7-G7*G7+G3*G3)</f>
        <v>3405.707121876454</v>
      </c>
      <c r="D3" s="15">
        <f t="shared" si="0"/>
        <v>88.983144471298601</v>
      </c>
      <c r="E3" s="8">
        <f t="shared" si="0"/>
        <v>0.13416407864998736</v>
      </c>
      <c r="F3" s="3">
        <v>0.04</v>
      </c>
      <c r="G3" s="3">
        <v>500</v>
      </c>
      <c r="H3" s="3">
        <v>13</v>
      </c>
      <c r="I3" s="10">
        <v>0.02</v>
      </c>
      <c r="J3" s="3">
        <v>0.04</v>
      </c>
      <c r="K3" s="3">
        <v>500</v>
      </c>
      <c r="L3" s="3">
        <v>13</v>
      </c>
      <c r="M3" s="10">
        <v>0.02</v>
      </c>
      <c r="N3" s="3">
        <v>0.04</v>
      </c>
      <c r="O3" s="3">
        <v>500</v>
      </c>
      <c r="P3" s="3">
        <v>13</v>
      </c>
      <c r="Q3" s="10">
        <v>0.02</v>
      </c>
      <c r="R3" s="3">
        <v>0.04</v>
      </c>
      <c r="S3" s="3">
        <v>500</v>
      </c>
      <c r="T3" s="3">
        <v>13</v>
      </c>
      <c r="U3" s="3">
        <v>0.02</v>
      </c>
    </row>
    <row r="4" spans="1:21" x14ac:dyDescent="0.25">
      <c r="A4" s="7" t="s">
        <v>49</v>
      </c>
      <c r="B4" s="2"/>
      <c r="C4" s="15"/>
      <c r="D4" s="15"/>
      <c r="E4" s="9"/>
      <c r="F4" s="2"/>
      <c r="G4" s="2"/>
      <c r="H4" s="2"/>
      <c r="I4" s="9"/>
      <c r="J4" s="4">
        <f>SQRT((J7*J7-J3*J3-J6*J6)*1/5)</f>
        <v>0.1328909327230417</v>
      </c>
      <c r="K4" s="15">
        <f t="shared" ref="K4:M4" si="1">SQRT((K7*K7-K3*K3-K6*K6)*1/5)</f>
        <v>1788.9842928321086</v>
      </c>
      <c r="L4" s="15">
        <f t="shared" si="1"/>
        <v>46.467192727772996</v>
      </c>
      <c r="M4" s="8">
        <f t="shared" si="1"/>
        <v>7.0427267446636035E-2</v>
      </c>
      <c r="N4" s="4">
        <f>SQRT((N7*N7-N3*N3-N6*N6)*4/5)</f>
        <v>0.12899612397277679</v>
      </c>
      <c r="O4" s="15">
        <f t="shared" ref="O4:P4" si="2">SQRT((O7*O7-O3*O3-O6*O6)*4/5)</f>
        <v>1017.6050314341021</v>
      </c>
      <c r="P4" s="15">
        <f t="shared" si="2"/>
        <v>38.439562952770416</v>
      </c>
      <c r="Q4" s="8">
        <f>SQRT((Q7*Q7-Q3*Q3-Q6*Q6)*4/5)</f>
        <v>8.5790442358108884E-2</v>
      </c>
      <c r="R4" s="4">
        <f t="shared" ref="R4:U4" si="3">SQRT((R7*R7-R3*R3-R6*R6)*4/5)</f>
        <v>0.12930583900195691</v>
      </c>
      <c r="S4" s="15">
        <f t="shared" si="3"/>
        <v>1017.5558952706234</v>
      </c>
      <c r="T4" s="15">
        <f t="shared" si="3"/>
        <v>38.439562952770416</v>
      </c>
      <c r="U4" s="4">
        <f t="shared" si="3"/>
        <v>6.9282032302755092E-2</v>
      </c>
    </row>
    <row r="5" spans="1:21" x14ac:dyDescent="0.25">
      <c r="A5" s="7" t="s">
        <v>50</v>
      </c>
      <c r="B5" s="4">
        <f t="shared" ref="B5:E5" si="4">SQRT(B7*B7-B3*B3-B6*B6)</f>
        <v>0.35763109484495337</v>
      </c>
      <c r="C5" s="15">
        <f t="shared" si="4"/>
        <v>4903.5089476822614</v>
      </c>
      <c r="D5" s="15">
        <f t="shared" si="4"/>
        <v>127.46372032857036</v>
      </c>
      <c r="E5" s="8">
        <f t="shared" si="4"/>
        <v>0.19798989873223333</v>
      </c>
      <c r="F5" s="4">
        <f>SQRT(F7*F7-F3*F3-F6*F6)</f>
        <v>0.35763109484495337</v>
      </c>
      <c r="G5" s="15">
        <f t="shared" ref="G5:I5" si="5">SQRT(G7*G7-G3*G3-G6*G6)</f>
        <v>4903.5089476822614</v>
      </c>
      <c r="H5" s="15">
        <f t="shared" si="5"/>
        <v>127.46372032857036</v>
      </c>
      <c r="I5" s="8">
        <f t="shared" si="5"/>
        <v>0.19798989873223333</v>
      </c>
      <c r="J5" s="4">
        <f>SQRT((J7*J7-J3*J3-J6*J6)*4/5)</f>
        <v>0.2657818654460834</v>
      </c>
      <c r="K5" s="15">
        <f>SQRT((K7*K7-K3*K3-K6*K6)*4/5)</f>
        <v>3577.9685856642172</v>
      </c>
      <c r="L5" s="15">
        <f>SQRT((L7*L7-L3*L3-L6*L6)*4/5)</f>
        <v>92.934385455545993</v>
      </c>
      <c r="M5" s="8">
        <f>SQRT((M7*M7-M3*M3-M6*M6)*4/5)</f>
        <v>0.14085453489327207</v>
      </c>
      <c r="N5" s="4">
        <f>SQRT((N7*N7-N3*N3-N6*N6)*1/5)</f>
        <v>6.4498061986388397E-2</v>
      </c>
      <c r="O5" s="15">
        <f t="shared" ref="O5:P5" si="6">SQRT((O7*O7-O3*O3-O6*O6)*1/5)</f>
        <v>508.80251571705105</v>
      </c>
      <c r="P5" s="15">
        <f t="shared" si="6"/>
        <v>19.219781476385208</v>
      </c>
      <c r="Q5" s="8">
        <f>SQRT((Q7*Q7-Q3*Q3-Q6*Q6)*1/5)</f>
        <v>4.2895221179054442E-2</v>
      </c>
      <c r="R5" s="4">
        <f t="shared" ref="R5:U5" si="7">SQRT((R7*R7-R3*R3-R6*R6)*1/5)</f>
        <v>6.4652919500978456E-2</v>
      </c>
      <c r="S5" s="15">
        <f t="shared" si="7"/>
        <v>508.7779476353117</v>
      </c>
      <c r="T5" s="15">
        <f t="shared" si="7"/>
        <v>19.219781476385208</v>
      </c>
      <c r="U5" s="4">
        <f t="shared" si="7"/>
        <v>3.4641016151377546E-2</v>
      </c>
    </row>
    <row r="6" spans="1:21" x14ac:dyDescent="0.25">
      <c r="A6" s="16" t="s">
        <v>41</v>
      </c>
      <c r="B6" s="17">
        <v>0.01</v>
      </c>
      <c r="C6" s="17">
        <v>840</v>
      </c>
      <c r="D6" s="17">
        <v>22</v>
      </c>
      <c r="E6" s="16">
        <v>0.02</v>
      </c>
      <c r="F6" s="17">
        <v>0.01</v>
      </c>
      <c r="G6" s="17">
        <v>840</v>
      </c>
      <c r="H6" s="17">
        <v>22</v>
      </c>
      <c r="I6" s="16">
        <v>0.02</v>
      </c>
      <c r="J6" s="17">
        <v>0.01</v>
      </c>
      <c r="K6" s="17">
        <v>840</v>
      </c>
      <c r="L6" s="17">
        <v>22</v>
      </c>
      <c r="M6" s="16">
        <v>0.02</v>
      </c>
      <c r="N6" s="17">
        <v>0.01</v>
      </c>
      <c r="O6" s="17">
        <v>840</v>
      </c>
      <c r="P6" s="17">
        <v>22</v>
      </c>
      <c r="Q6" s="16">
        <v>0.02</v>
      </c>
      <c r="R6" s="17">
        <v>0</v>
      </c>
      <c r="S6" s="17">
        <v>135</v>
      </c>
      <c r="T6" s="17">
        <v>3</v>
      </c>
      <c r="U6" s="17">
        <v>0</v>
      </c>
    </row>
    <row r="7" spans="1:21" x14ac:dyDescent="0.25">
      <c r="A7" s="11" t="s">
        <v>6</v>
      </c>
      <c r="B7" s="1">
        <v>0.43</v>
      </c>
      <c r="C7" s="1">
        <v>6029</v>
      </c>
      <c r="D7" s="1">
        <v>157</v>
      </c>
      <c r="E7" s="11">
        <v>0.24</v>
      </c>
      <c r="F7" s="1">
        <v>0.36</v>
      </c>
      <c r="G7" s="1">
        <v>5000</v>
      </c>
      <c r="H7" s="1">
        <v>130</v>
      </c>
      <c r="I7" s="11">
        <v>0.2</v>
      </c>
      <c r="J7" s="1">
        <v>0.3</v>
      </c>
      <c r="K7" s="1">
        <v>4118</v>
      </c>
      <c r="L7" s="1">
        <v>107</v>
      </c>
      <c r="M7" s="11">
        <v>0.16</v>
      </c>
      <c r="N7" s="1">
        <v>0.15</v>
      </c>
      <c r="O7" s="1">
        <v>1500</v>
      </c>
      <c r="P7" s="1">
        <v>50</v>
      </c>
      <c r="Q7" s="11">
        <v>0.1</v>
      </c>
      <c r="R7" s="1">
        <v>0.15</v>
      </c>
      <c r="S7" s="1">
        <v>1250</v>
      </c>
      <c r="T7" s="1">
        <v>45</v>
      </c>
      <c r="U7" s="1">
        <v>0.08</v>
      </c>
    </row>
    <row r="9" spans="1:21" x14ac:dyDescent="0.25">
      <c r="A9" s="1" t="s">
        <v>15</v>
      </c>
      <c r="C9" s="3" t="s">
        <v>16</v>
      </c>
      <c r="H9" s="2" t="s">
        <v>42</v>
      </c>
    </row>
    <row r="11" spans="1:21" x14ac:dyDescent="0.25">
      <c r="A11" s="1" t="s">
        <v>10</v>
      </c>
    </row>
    <row r="12" spans="1:21" x14ac:dyDescent="0.25">
      <c r="A12" t="s">
        <v>11</v>
      </c>
    </row>
    <row r="13" spans="1:21" x14ac:dyDescent="0.25">
      <c r="A13" t="s">
        <v>13</v>
      </c>
      <c r="J13" t="s">
        <v>31</v>
      </c>
    </row>
    <row r="14" spans="1:21" x14ac:dyDescent="0.25">
      <c r="A14" t="s">
        <v>12</v>
      </c>
      <c r="J14" t="s">
        <v>32</v>
      </c>
    </row>
    <row r="15" spans="1:21" x14ac:dyDescent="0.25">
      <c r="A15" t="s">
        <v>55</v>
      </c>
    </row>
    <row r="16" spans="1:21" x14ac:dyDescent="0.25">
      <c r="A16" t="s">
        <v>56</v>
      </c>
    </row>
    <row r="18" spans="1:19" x14ac:dyDescent="0.25">
      <c r="A18" s="13"/>
      <c r="B18" s="52" t="s">
        <v>4</v>
      </c>
      <c r="C18" s="52" t="s">
        <v>21</v>
      </c>
      <c r="D18" s="52" t="s">
        <v>22</v>
      </c>
      <c r="E18" s="52" t="s">
        <v>23</v>
      </c>
      <c r="F18" s="53" t="s">
        <v>14</v>
      </c>
    </row>
    <row r="19" spans="1:19" x14ac:dyDescent="0.25">
      <c r="A19" s="7" t="s">
        <v>53</v>
      </c>
      <c r="B19" s="32"/>
      <c r="C19" s="32"/>
      <c r="D19" s="54">
        <v>1</v>
      </c>
      <c r="E19" s="54">
        <v>0.7</v>
      </c>
      <c r="F19" s="55">
        <v>0.7</v>
      </c>
    </row>
    <row r="20" spans="1:19" x14ac:dyDescent="0.25">
      <c r="A20" s="13" t="s">
        <v>54</v>
      </c>
      <c r="B20" s="56">
        <v>0.9</v>
      </c>
      <c r="C20" s="56">
        <v>0.9</v>
      </c>
      <c r="D20" s="56">
        <v>0.8</v>
      </c>
      <c r="E20" s="56">
        <v>0.7</v>
      </c>
      <c r="F20" s="57">
        <v>0.7</v>
      </c>
    </row>
    <row r="22" spans="1:19" x14ac:dyDescent="0.25">
      <c r="A22" s="18" t="s">
        <v>17</v>
      </c>
      <c r="B22" s="12" t="s">
        <v>44</v>
      </c>
      <c r="C22" s="12"/>
      <c r="D22" s="12"/>
      <c r="E22" s="12" t="s">
        <v>18</v>
      </c>
      <c r="F22" s="12"/>
      <c r="G22" s="12"/>
    </row>
    <row r="23" spans="1:19" x14ac:dyDescent="0.25">
      <c r="A23" s="7" t="s">
        <v>38</v>
      </c>
      <c r="B23" t="s">
        <v>20</v>
      </c>
      <c r="E23" t="s">
        <v>20</v>
      </c>
      <c r="J23" t="s">
        <v>33</v>
      </c>
    </row>
    <row r="24" spans="1:19" x14ac:dyDescent="0.25">
      <c r="A24" s="7" t="s">
        <v>39</v>
      </c>
      <c r="B24" t="s">
        <v>19</v>
      </c>
      <c r="E24" t="s">
        <v>20</v>
      </c>
      <c r="J24" t="s">
        <v>34</v>
      </c>
    </row>
    <row r="25" spans="1:19" x14ac:dyDescent="0.25">
      <c r="A25" s="7" t="s">
        <v>40</v>
      </c>
      <c r="B25" s="49" t="s">
        <v>51</v>
      </c>
      <c r="C25" s="49"/>
      <c r="D25" s="49"/>
      <c r="E25" s="49" t="s">
        <v>51</v>
      </c>
      <c r="F25" s="48"/>
      <c r="J25" t="s">
        <v>35</v>
      </c>
    </row>
    <row r="26" spans="1:19" x14ac:dyDescent="0.25">
      <c r="A26" s="20" t="s">
        <v>41</v>
      </c>
      <c r="B26" s="12" t="s">
        <v>20</v>
      </c>
      <c r="C26" s="12"/>
      <c r="D26" s="12"/>
      <c r="E26" s="12" t="s">
        <v>20</v>
      </c>
      <c r="F26" s="12"/>
      <c r="G26" s="12"/>
      <c r="J26" t="s">
        <v>36</v>
      </c>
    </row>
    <row r="27" spans="1:19" x14ac:dyDescent="0.25">
      <c r="A27" s="19" t="s">
        <v>45</v>
      </c>
    </row>
    <row r="29" spans="1:19" x14ac:dyDescent="0.25">
      <c r="A29" s="1" t="s">
        <v>43</v>
      </c>
    </row>
    <row r="30" spans="1:19" x14ac:dyDescent="0.25">
      <c r="K30" s="60"/>
      <c r="L30" s="60"/>
      <c r="M30" s="60"/>
      <c r="N30" s="60"/>
      <c r="O30" s="60"/>
      <c r="P30" s="60"/>
      <c r="Q30" s="60"/>
      <c r="R30" s="60"/>
      <c r="S30" s="60"/>
    </row>
    <row r="31" spans="1:19" x14ac:dyDescent="0.25">
      <c r="A31" s="1" t="s">
        <v>0</v>
      </c>
      <c r="K31" s="61"/>
      <c r="L31" s="60"/>
      <c r="M31" s="60"/>
      <c r="N31" s="60"/>
      <c r="O31" s="60"/>
      <c r="P31" s="60"/>
      <c r="Q31" s="60"/>
      <c r="R31" s="60"/>
      <c r="S31" s="60"/>
    </row>
    <row r="32" spans="1:19" x14ac:dyDescent="0.25">
      <c r="A32" s="65"/>
      <c r="B32" s="66" t="s">
        <v>4</v>
      </c>
      <c r="C32" s="66" t="s">
        <v>21</v>
      </c>
      <c r="D32" s="66" t="s">
        <v>22</v>
      </c>
      <c r="E32" s="66" t="s">
        <v>23</v>
      </c>
      <c r="F32" s="66" t="s">
        <v>14</v>
      </c>
      <c r="K32" s="60"/>
      <c r="L32" s="64"/>
      <c r="M32" s="64"/>
      <c r="N32" s="64"/>
      <c r="O32" s="64"/>
      <c r="P32" s="64"/>
      <c r="Q32" s="60"/>
      <c r="R32" s="60"/>
      <c r="S32" s="60"/>
    </row>
    <row r="33" spans="1:19" x14ac:dyDescent="0.25">
      <c r="A33" s="67" t="s">
        <v>49</v>
      </c>
      <c r="B33" s="68">
        <f>B4</f>
        <v>0</v>
      </c>
      <c r="C33" s="68">
        <f>F4</f>
        <v>0</v>
      </c>
      <c r="D33" s="68">
        <f>J4</f>
        <v>0.1328909327230417</v>
      </c>
      <c r="E33" s="68">
        <f>E19*N4</f>
        <v>9.0297286780943745E-2</v>
      </c>
      <c r="F33" s="68">
        <f>F19*R4</f>
        <v>9.0514087301369839E-2</v>
      </c>
      <c r="K33" s="60"/>
      <c r="L33" s="62"/>
      <c r="M33" s="62"/>
      <c r="N33" s="62"/>
      <c r="O33" s="62"/>
      <c r="P33" s="62"/>
      <c r="Q33" s="62"/>
      <c r="R33" s="62"/>
      <c r="S33" s="62"/>
    </row>
    <row r="34" spans="1:19" x14ac:dyDescent="0.25">
      <c r="A34" s="69" t="s">
        <v>52</v>
      </c>
      <c r="B34" s="68">
        <f>B20*B5</f>
        <v>0.32186798536045802</v>
      </c>
      <c r="C34" s="68">
        <f>C20*F5</f>
        <v>0.32186798536045802</v>
      </c>
      <c r="D34" s="68">
        <f>D20*J5</f>
        <v>0.21262549235686673</v>
      </c>
      <c r="E34" s="68">
        <f>E20*N5</f>
        <v>4.5148643390471872E-2</v>
      </c>
      <c r="F34" s="68">
        <f>F20*R5</f>
        <v>4.5257043650684919E-2</v>
      </c>
      <c r="K34" s="60"/>
      <c r="L34" s="62"/>
      <c r="M34" s="62"/>
      <c r="N34" s="62"/>
      <c r="O34" s="62"/>
      <c r="P34" s="62"/>
      <c r="Q34" s="62"/>
      <c r="R34" s="62"/>
      <c r="S34" s="62"/>
    </row>
    <row r="35" spans="1:19" x14ac:dyDescent="0.25">
      <c r="A35" s="69" t="s">
        <v>6</v>
      </c>
      <c r="B35" s="68">
        <f>B7</f>
        <v>0.43</v>
      </c>
      <c r="C35" s="68">
        <f>F7</f>
        <v>0.36</v>
      </c>
      <c r="D35" s="68">
        <f>J7</f>
        <v>0.3</v>
      </c>
      <c r="E35" s="68">
        <f>N7</f>
        <v>0.15</v>
      </c>
      <c r="F35" s="68">
        <f>R7</f>
        <v>0.15</v>
      </c>
      <c r="K35" s="60"/>
      <c r="L35" s="62"/>
      <c r="M35" s="62"/>
      <c r="N35" s="62"/>
      <c r="O35" s="62"/>
      <c r="P35" s="62"/>
      <c r="Q35" s="62"/>
      <c r="R35" s="62"/>
      <c r="S35" s="62"/>
    </row>
    <row r="36" spans="1:19" x14ac:dyDescent="0.25">
      <c r="K36" s="60"/>
      <c r="L36" s="62"/>
      <c r="M36" s="62"/>
      <c r="N36" s="62"/>
      <c r="O36" s="62"/>
      <c r="P36" s="62"/>
      <c r="Q36" s="62"/>
      <c r="R36" s="62"/>
      <c r="S36" s="62"/>
    </row>
    <row r="37" spans="1:19" x14ac:dyDescent="0.25">
      <c r="B37" s="58" t="s">
        <v>4</v>
      </c>
      <c r="C37" s="58" t="s">
        <v>21</v>
      </c>
      <c r="D37" s="58" t="s">
        <v>24</v>
      </c>
      <c r="E37" s="58" t="s">
        <v>25</v>
      </c>
      <c r="F37" s="58" t="s">
        <v>26</v>
      </c>
      <c r="G37" s="58" t="s">
        <v>27</v>
      </c>
      <c r="H37" s="58" t="s">
        <v>28</v>
      </c>
      <c r="I37" s="58" t="s">
        <v>29</v>
      </c>
      <c r="K37" s="60"/>
      <c r="L37" s="63"/>
      <c r="M37" s="63"/>
      <c r="N37" s="63"/>
      <c r="O37" s="63"/>
      <c r="P37" s="63"/>
      <c r="Q37" s="63"/>
      <c r="R37" s="63"/>
      <c r="S37" s="63"/>
    </row>
    <row r="38" spans="1:19" x14ac:dyDescent="0.25">
      <c r="A38" t="s">
        <v>4</v>
      </c>
      <c r="B38" s="59">
        <f>B34*B34/(B35*B35)</f>
        <v>0.56029745808545184</v>
      </c>
      <c r="C38" s="59">
        <f>B34*C34/B35/C35</f>
        <v>0.66924418604651181</v>
      </c>
      <c r="D38" s="59">
        <f>D34*D34/B35/D35</f>
        <v>0.35046201550387596</v>
      </c>
      <c r="E38" s="59">
        <f t="shared" ref="E38:E39" si="8">D38</f>
        <v>0.35046201550387596</v>
      </c>
      <c r="F38" s="59">
        <f>E34*E34/B35/E35</f>
        <v>3.1603100775193793E-2</v>
      </c>
      <c r="G38" s="59">
        <f>F38</f>
        <v>3.1603100775193793E-2</v>
      </c>
      <c r="H38" s="59">
        <f>F34*F34/B35/F35</f>
        <v>3.1755038759689928E-2</v>
      </c>
      <c r="I38" s="59">
        <f>H38</f>
        <v>3.1755038759689928E-2</v>
      </c>
      <c r="K38" s="60"/>
      <c r="L38" s="63"/>
      <c r="M38" s="63"/>
      <c r="N38" s="63"/>
      <c r="O38" s="63"/>
      <c r="P38" s="63"/>
      <c r="Q38" s="63"/>
      <c r="R38" s="63"/>
      <c r="S38" s="63"/>
    </row>
    <row r="39" spans="1:19" x14ac:dyDescent="0.25">
      <c r="A39" t="s">
        <v>21</v>
      </c>
      <c r="B39" s="59"/>
      <c r="C39" s="59">
        <f>C34*C34/C35/C35</f>
        <v>0.79937500000000017</v>
      </c>
      <c r="D39" s="59">
        <f>D34*D34/C35/D35</f>
        <v>0.41860740740740737</v>
      </c>
      <c r="E39" s="59">
        <f t="shared" si="8"/>
        <v>0.41860740740740737</v>
      </c>
      <c r="F39" s="59">
        <f>E34*E34/C35/E35</f>
        <v>3.7748148148148142E-2</v>
      </c>
      <c r="G39" s="59">
        <f t="shared" ref="G39:G41" si="9">F39</f>
        <v>3.7748148148148142E-2</v>
      </c>
      <c r="H39" s="59">
        <f>F34*F34/C35/F35</f>
        <v>3.7929629629629633E-2</v>
      </c>
      <c r="I39" s="59">
        <f t="shared" ref="I39:I41" si="10">H39</f>
        <v>3.7929629629629633E-2</v>
      </c>
      <c r="K39" s="60"/>
      <c r="L39" s="63"/>
      <c r="M39" s="63"/>
      <c r="N39" s="63"/>
      <c r="O39" s="63"/>
      <c r="P39" s="63"/>
      <c r="Q39" s="63"/>
      <c r="R39" s="63"/>
      <c r="S39" s="63"/>
    </row>
    <row r="40" spans="1:19" x14ac:dyDescent="0.25">
      <c r="A40" t="s">
        <v>24</v>
      </c>
      <c r="B40" s="59"/>
      <c r="C40" s="59"/>
      <c r="D40" s="59">
        <f>(D34*D34+D33*D33)/D35/D35</f>
        <v>0.69855111111111112</v>
      </c>
      <c r="E40" s="59">
        <f>D34*D34/D35/D35</f>
        <v>0.50232888888888882</v>
      </c>
      <c r="F40" s="59">
        <f>E34*E34/D35/E35</f>
        <v>4.5297777777777777E-2</v>
      </c>
      <c r="G40" s="59">
        <f t="shared" si="9"/>
        <v>4.5297777777777777E-2</v>
      </c>
      <c r="H40" s="59">
        <f>F34*F34/D35/F35</f>
        <v>4.5515555555555559E-2</v>
      </c>
      <c r="I40" s="59">
        <f t="shared" si="10"/>
        <v>4.5515555555555559E-2</v>
      </c>
      <c r="K40" s="60"/>
      <c r="L40" s="63"/>
      <c r="M40" s="63"/>
      <c r="N40" s="63"/>
      <c r="O40" s="63"/>
      <c r="P40" s="63"/>
      <c r="Q40" s="63"/>
      <c r="R40" s="63"/>
      <c r="S40" s="63"/>
    </row>
    <row r="41" spans="1:19" x14ac:dyDescent="0.25">
      <c r="A41" t="s">
        <v>25</v>
      </c>
      <c r="B41" s="59"/>
      <c r="C41" s="59"/>
      <c r="D41" s="59"/>
      <c r="E41" s="59">
        <f>D40</f>
        <v>0.69855111111111112</v>
      </c>
      <c r="F41" s="59">
        <f>F40</f>
        <v>4.5297777777777777E-2</v>
      </c>
      <c r="G41" s="59">
        <f t="shared" si="9"/>
        <v>4.5297777777777777E-2</v>
      </c>
      <c r="H41" s="59">
        <f>H40</f>
        <v>4.5515555555555559E-2</v>
      </c>
      <c r="I41" s="59">
        <f t="shared" si="10"/>
        <v>4.5515555555555559E-2</v>
      </c>
      <c r="K41" s="60"/>
      <c r="L41" s="63"/>
      <c r="M41" s="63"/>
      <c r="N41" s="63"/>
      <c r="O41" s="63"/>
      <c r="P41" s="63"/>
      <c r="Q41" s="63"/>
      <c r="R41" s="63"/>
      <c r="S41" s="63"/>
    </row>
    <row r="42" spans="1:19" x14ac:dyDescent="0.25">
      <c r="A42" t="s">
        <v>26</v>
      </c>
      <c r="B42" s="59"/>
      <c r="C42" s="59"/>
      <c r="D42" s="59"/>
      <c r="E42" s="59"/>
      <c r="F42" s="59">
        <f>(E34*E34+E33*E33)/E35/E35</f>
        <v>0.4529777777777777</v>
      </c>
      <c r="G42" s="59">
        <f>E34*E34/E35/E35</f>
        <v>9.0595555555555554E-2</v>
      </c>
      <c r="H42" s="59">
        <f>(F34*F34+F33*F33)/E35/F35</f>
        <v>0.45515555555555559</v>
      </c>
      <c r="I42" s="59">
        <f>H43</f>
        <v>9.1031111111111118E-2</v>
      </c>
      <c r="K42" s="60"/>
      <c r="L42" s="63"/>
      <c r="M42" s="63"/>
      <c r="N42" s="63"/>
      <c r="O42" s="63"/>
      <c r="P42" s="63"/>
      <c r="Q42" s="63"/>
      <c r="R42" s="63"/>
      <c r="S42" s="63"/>
    </row>
    <row r="43" spans="1:19" x14ac:dyDescent="0.25">
      <c r="A43" t="s">
        <v>27</v>
      </c>
      <c r="B43" s="59"/>
      <c r="C43" s="59"/>
      <c r="D43" s="59"/>
      <c r="E43" s="59"/>
      <c r="F43" s="59"/>
      <c r="G43" s="59">
        <f>F42</f>
        <v>0.4529777777777777</v>
      </c>
      <c r="H43" s="59">
        <f>F34*F34/E35/F35</f>
        <v>9.1031111111111118E-2</v>
      </c>
      <c r="I43" s="59">
        <f>H42</f>
        <v>0.45515555555555559</v>
      </c>
      <c r="K43" s="60"/>
      <c r="L43" s="63"/>
      <c r="M43" s="63"/>
      <c r="N43" s="63"/>
      <c r="O43" s="63"/>
      <c r="P43" s="63"/>
      <c r="Q43" s="63"/>
      <c r="R43" s="63"/>
      <c r="S43" s="63"/>
    </row>
    <row r="44" spans="1:19" x14ac:dyDescent="0.25">
      <c r="A44" t="s">
        <v>28</v>
      </c>
      <c r="B44" s="59"/>
      <c r="C44" s="59"/>
      <c r="D44" s="59"/>
      <c r="E44" s="59"/>
      <c r="F44" s="59"/>
      <c r="G44" s="59"/>
      <c r="H44" s="59">
        <f>(F34*F34+F33*F33)/F35/F35</f>
        <v>0.45515555555555559</v>
      </c>
      <c r="I44" s="59">
        <f>F34*F34/F35/F35</f>
        <v>9.1031111111111118E-2</v>
      </c>
      <c r="K44" s="60"/>
      <c r="L44" s="63"/>
      <c r="M44" s="63"/>
      <c r="N44" s="63"/>
      <c r="O44" s="63"/>
      <c r="P44" s="63"/>
      <c r="Q44" s="63"/>
      <c r="R44" s="63"/>
      <c r="S44" s="63"/>
    </row>
    <row r="45" spans="1:19" x14ac:dyDescent="0.25">
      <c r="A45" t="s">
        <v>29</v>
      </c>
      <c r="B45" s="59"/>
      <c r="C45" s="59"/>
      <c r="D45" s="59"/>
      <c r="E45" s="59"/>
      <c r="F45" s="59"/>
      <c r="G45" s="59"/>
      <c r="H45" s="59"/>
      <c r="I45" s="59">
        <f>H44</f>
        <v>0.45515555555555559</v>
      </c>
      <c r="K45" s="60"/>
      <c r="L45" s="63"/>
      <c r="M45" s="63"/>
      <c r="N45" s="63"/>
      <c r="O45" s="63"/>
      <c r="P45" s="63"/>
      <c r="Q45" s="63"/>
      <c r="R45" s="63"/>
      <c r="S45" s="63"/>
    </row>
    <row r="46" spans="1:19" x14ac:dyDescent="0.25">
      <c r="K46" s="60"/>
      <c r="L46" s="62"/>
      <c r="M46" s="5"/>
      <c r="R46" s="62"/>
      <c r="S46" s="62"/>
    </row>
    <row r="47" spans="1:19" x14ac:dyDescent="0.25">
      <c r="A47" s="1" t="s">
        <v>1</v>
      </c>
      <c r="K47" s="60"/>
      <c r="L47" s="5"/>
      <c r="M47" s="5"/>
      <c r="N47" s="5"/>
      <c r="O47" s="5"/>
      <c r="P47" s="5"/>
      <c r="Q47" s="5"/>
      <c r="R47" s="5"/>
      <c r="S47" s="5"/>
    </row>
    <row r="48" spans="1:19" x14ac:dyDescent="0.25">
      <c r="B48" t="s">
        <v>4</v>
      </c>
      <c r="C48" t="s">
        <v>21</v>
      </c>
      <c r="D48" t="s">
        <v>22</v>
      </c>
      <c r="E48" t="s">
        <v>23</v>
      </c>
      <c r="F48" t="s">
        <v>14</v>
      </c>
      <c r="K48" s="60"/>
    </row>
    <row r="49" spans="1:11" x14ac:dyDescent="0.25">
      <c r="A49" t="str">
        <f>A33</f>
        <v>Crustal commision error</v>
      </c>
      <c r="B49" s="5">
        <f>C4</f>
        <v>0</v>
      </c>
      <c r="C49">
        <f>G4</f>
        <v>0</v>
      </c>
      <c r="D49">
        <f>K4</f>
        <v>1788.9842928321086</v>
      </c>
      <c r="E49">
        <f>E19*O4</f>
        <v>712.3235220038714</v>
      </c>
      <c r="F49">
        <f>F19*S4</f>
        <v>712.28912668943633</v>
      </c>
    </row>
    <row r="50" spans="1:11" x14ac:dyDescent="0.25">
      <c r="A50" t="str">
        <f>A34</f>
        <v>Correlated crustal omission</v>
      </c>
      <c r="B50" s="5">
        <f>B20*C5</f>
        <v>4413.1580529140356</v>
      </c>
      <c r="C50">
        <f>C20*G5</f>
        <v>4413.1580529140356</v>
      </c>
      <c r="D50">
        <f>D20*K5</f>
        <v>2862.374868531374</v>
      </c>
      <c r="E50">
        <f>E20*O5</f>
        <v>356.1617610019357</v>
      </c>
      <c r="F50">
        <f>F20*S5</f>
        <v>356.14456334471816</v>
      </c>
      <c r="K50" s="70"/>
    </row>
    <row r="51" spans="1:11" x14ac:dyDescent="0.25">
      <c r="A51" t="s">
        <v>6</v>
      </c>
      <c r="B51" s="5">
        <f>C7</f>
        <v>6029</v>
      </c>
      <c r="C51">
        <f>G7</f>
        <v>5000</v>
      </c>
      <c r="D51">
        <f>K7</f>
        <v>4118</v>
      </c>
      <c r="E51">
        <f>O7</f>
        <v>1500</v>
      </c>
      <c r="F51">
        <f>S7</f>
        <v>1250</v>
      </c>
      <c r="K51" s="60"/>
    </row>
    <row r="53" spans="1:11" x14ac:dyDescent="0.25">
      <c r="B53" t="s">
        <v>4</v>
      </c>
      <c r="C53" t="s">
        <v>21</v>
      </c>
      <c r="D53" t="s">
        <v>24</v>
      </c>
      <c r="E53" t="s">
        <v>25</v>
      </c>
      <c r="F53" t="s">
        <v>26</v>
      </c>
      <c r="G53" t="s">
        <v>27</v>
      </c>
      <c r="H53" t="s">
        <v>28</v>
      </c>
      <c r="I53" t="s">
        <v>29</v>
      </c>
    </row>
    <row r="54" spans="1:11" x14ac:dyDescent="0.25">
      <c r="A54" t="s">
        <v>4</v>
      </c>
      <c r="B54">
        <f>B50*B50/(B51*B51)</f>
        <v>0.53580701513976747</v>
      </c>
      <c r="C54">
        <f>B50*C50/B51/C51</f>
        <v>0.64607609885553152</v>
      </c>
      <c r="D54">
        <f>D50*D50/B51/D51</f>
        <v>0.33000566422079586</v>
      </c>
      <c r="E54">
        <f t="shared" ref="E54:E55" si="11">D54</f>
        <v>0.33000566422079586</v>
      </c>
      <c r="F54">
        <f>E50*E50/B51/E51</f>
        <v>1.4026781666390221E-2</v>
      </c>
      <c r="G54">
        <f>F54</f>
        <v>1.4026781666390221E-2</v>
      </c>
      <c r="H54">
        <f>F50*F50/B51/F51</f>
        <v>1.6830512522806432E-2</v>
      </c>
      <c r="I54">
        <f>H54</f>
        <v>1.6830512522806432E-2</v>
      </c>
    </row>
    <row r="55" spans="1:11" x14ac:dyDescent="0.25">
      <c r="A55" t="s">
        <v>21</v>
      </c>
      <c r="C55">
        <f>C50*C50/C51/C51</f>
        <v>0.77903855999999994</v>
      </c>
      <c r="D55">
        <f>D50*D50/C51/D51</f>
        <v>0.39792082991743566</v>
      </c>
      <c r="E55">
        <f t="shared" si="11"/>
        <v>0.39792082991743566</v>
      </c>
      <c r="F55">
        <f>E50*E50/C51/E51</f>
        <v>1.6913493333333328E-2</v>
      </c>
      <c r="G55">
        <f t="shared" ref="G55:G57" si="12">F55</f>
        <v>1.6913493333333328E-2</v>
      </c>
      <c r="H55">
        <f>F50*F50/C51/F51</f>
        <v>2.0294231999999995E-2</v>
      </c>
      <c r="I55">
        <f t="shared" ref="I55:I57" si="13">H55</f>
        <v>2.0294231999999995E-2</v>
      </c>
    </row>
    <row r="56" spans="1:11" x14ac:dyDescent="0.25">
      <c r="A56" t="s">
        <v>24</v>
      </c>
      <c r="D56">
        <f>(D50*D50+D49*D49)/D51/D51</f>
        <v>0.67187791901886107</v>
      </c>
      <c r="E56">
        <f>D50*D50/D51/D51</f>
        <v>0.4831481664854731</v>
      </c>
      <c r="F56">
        <f>E50*E50/D51/E51</f>
        <v>2.0536053100210453E-2</v>
      </c>
      <c r="G56">
        <f t="shared" si="12"/>
        <v>2.0536053100210453E-2</v>
      </c>
      <c r="H56">
        <f>F50*F50/D51/F51</f>
        <v>2.4640883924235059E-2</v>
      </c>
      <c r="I56">
        <f t="shared" si="13"/>
        <v>2.4640883924235059E-2</v>
      </c>
    </row>
    <row r="57" spans="1:11" x14ac:dyDescent="0.25">
      <c r="A57" t="s">
        <v>25</v>
      </c>
      <c r="E57">
        <f>D56</f>
        <v>0.67187791901886107</v>
      </c>
      <c r="F57">
        <f>F56</f>
        <v>2.0536053100210453E-2</v>
      </c>
      <c r="G57">
        <f t="shared" si="12"/>
        <v>2.0536053100210453E-2</v>
      </c>
      <c r="H57">
        <f>H56</f>
        <v>2.4640883924235059E-2</v>
      </c>
      <c r="I57">
        <f t="shared" si="13"/>
        <v>2.4640883924235059E-2</v>
      </c>
    </row>
    <row r="58" spans="1:11" x14ac:dyDescent="0.25">
      <c r="A58" t="s">
        <v>26</v>
      </c>
      <c r="F58">
        <f>(E50*E50+E49*E49)/E51/E51</f>
        <v>0.28189155555555551</v>
      </c>
      <c r="G58">
        <f>E50*E50/E51/E51</f>
        <v>5.63783111111111E-2</v>
      </c>
      <c r="H58">
        <f>(F50*F50+F49*F49)/E51/F51</f>
        <v>0.33823719999999996</v>
      </c>
      <c r="I58">
        <f>H59</f>
        <v>6.7647439999999989E-2</v>
      </c>
    </row>
    <row r="59" spans="1:11" x14ac:dyDescent="0.25">
      <c r="A59" t="s">
        <v>27</v>
      </c>
      <c r="G59">
        <f>F58</f>
        <v>0.28189155555555551</v>
      </c>
      <c r="H59">
        <f>F50*F50/E51/F51</f>
        <v>6.7647439999999989E-2</v>
      </c>
      <c r="I59">
        <f>H58</f>
        <v>0.33823719999999996</v>
      </c>
    </row>
    <row r="60" spans="1:11" x14ac:dyDescent="0.25">
      <c r="A60" t="s">
        <v>28</v>
      </c>
      <c r="H60">
        <f>(F50*F50+F49*F49)/F51/F51</f>
        <v>0.40588463999999996</v>
      </c>
      <c r="I60">
        <f>F50*F50/F51/F51</f>
        <v>8.1176927999999982E-2</v>
      </c>
    </row>
    <row r="61" spans="1:11" x14ac:dyDescent="0.25">
      <c r="A61" t="s">
        <v>29</v>
      </c>
      <c r="I61">
        <f>H60</f>
        <v>0.40588463999999996</v>
      </c>
    </row>
    <row r="63" spans="1:11" x14ac:dyDescent="0.25">
      <c r="A63" s="1" t="s">
        <v>2</v>
      </c>
    </row>
    <row r="64" spans="1:11" x14ac:dyDescent="0.25">
      <c r="B64" t="s">
        <v>4</v>
      </c>
      <c r="C64" t="s">
        <v>21</v>
      </c>
      <c r="D64" t="s">
        <v>22</v>
      </c>
      <c r="E64" t="s">
        <v>23</v>
      </c>
      <c r="F64" t="s">
        <v>14</v>
      </c>
    </row>
    <row r="65" spans="1:9" x14ac:dyDescent="0.25">
      <c r="A65" t="str">
        <f>A49</f>
        <v>Crustal commision error</v>
      </c>
      <c r="B65" s="5">
        <f>D4</f>
        <v>0</v>
      </c>
      <c r="C65">
        <f>H4</f>
        <v>0</v>
      </c>
      <c r="D65">
        <f>L4</f>
        <v>46.467192727772996</v>
      </c>
      <c r="E65">
        <f>E19*P4</f>
        <v>26.907694066939289</v>
      </c>
      <c r="F65">
        <f>F19*T4</f>
        <v>26.907694066939289</v>
      </c>
    </row>
    <row r="66" spans="1:9" x14ac:dyDescent="0.25">
      <c r="A66" t="str">
        <f>A50</f>
        <v>Correlated crustal omission</v>
      </c>
      <c r="B66" s="5">
        <f>B20*D5</f>
        <v>114.71734829571332</v>
      </c>
      <c r="C66">
        <f>C20*H5</f>
        <v>114.71734829571332</v>
      </c>
      <c r="D66">
        <f>D20*L5</f>
        <v>74.347508364436791</v>
      </c>
      <c r="E66">
        <f>E20*P5</f>
        <v>13.453847033469645</v>
      </c>
      <c r="F66">
        <f>F20*T5</f>
        <v>13.453847033469645</v>
      </c>
    </row>
    <row r="67" spans="1:9" x14ac:dyDescent="0.25">
      <c r="A67" t="s">
        <v>6</v>
      </c>
      <c r="B67" s="5">
        <f>D7</f>
        <v>157</v>
      </c>
      <c r="C67">
        <f>H7</f>
        <v>130</v>
      </c>
      <c r="D67">
        <f>L7</f>
        <v>107</v>
      </c>
      <c r="E67">
        <f>P7</f>
        <v>50</v>
      </c>
      <c r="F67">
        <f>T7</f>
        <v>45</v>
      </c>
    </row>
    <row r="69" spans="1:9" x14ac:dyDescent="0.25">
      <c r="B69" t="s">
        <v>4</v>
      </c>
      <c r="C69" t="s">
        <v>21</v>
      </c>
      <c r="D69" t="s">
        <v>24</v>
      </c>
      <c r="E69" t="s">
        <v>25</v>
      </c>
      <c r="F69" t="s">
        <v>26</v>
      </c>
      <c r="G69" t="s">
        <v>27</v>
      </c>
      <c r="H69" t="s">
        <v>28</v>
      </c>
      <c r="I69" t="s">
        <v>29</v>
      </c>
    </row>
    <row r="70" spans="1:9" x14ac:dyDescent="0.25">
      <c r="A70" t="s">
        <v>4</v>
      </c>
      <c r="B70">
        <f>B66*B66/(B67*B67)</f>
        <v>0.53389873828552881</v>
      </c>
      <c r="C70">
        <f>B66*C66/B67/C67</f>
        <v>0.64478539931406176</v>
      </c>
      <c r="D70">
        <f>D66*D66/B67/D67</f>
        <v>0.32904053812726941</v>
      </c>
      <c r="E70">
        <f t="shared" ref="E70:E71" si="14">D70</f>
        <v>0.32904053812726941</v>
      </c>
      <c r="F70">
        <f>E66*E66/B67/E67</f>
        <v>2.3058089171974515E-2</v>
      </c>
      <c r="G70">
        <f>F70</f>
        <v>2.3058089171974515E-2</v>
      </c>
      <c r="H70">
        <f>F66*F66/B67/F67</f>
        <v>2.5620099079971686E-2</v>
      </c>
      <c r="I70">
        <f>H70</f>
        <v>2.5620099079971686E-2</v>
      </c>
    </row>
    <row r="71" spans="1:9" x14ac:dyDescent="0.25">
      <c r="A71" t="s">
        <v>21</v>
      </c>
      <c r="C71">
        <f>C66*C66/C67/C67</f>
        <v>0.77870236686390537</v>
      </c>
      <c r="D71">
        <f>D66*D66/C67/D67</f>
        <v>0.39737972681524075</v>
      </c>
      <c r="E71">
        <f t="shared" si="14"/>
        <v>0.39737972681524075</v>
      </c>
      <c r="F71">
        <f>E66*E66/C67/E67</f>
        <v>2.7847076923076912E-2</v>
      </c>
      <c r="G71">
        <f t="shared" ref="G71:G73" si="15">F71</f>
        <v>2.7847076923076912E-2</v>
      </c>
      <c r="H71">
        <f>F66*F66/C67/F67</f>
        <v>3.0941196581196571E-2</v>
      </c>
      <c r="I71">
        <f t="shared" ref="I71:I73" si="16">H71</f>
        <v>3.0941196581196571E-2</v>
      </c>
    </row>
    <row r="72" spans="1:9" x14ac:dyDescent="0.25">
      <c r="A72" t="s">
        <v>24</v>
      </c>
      <c r="D72">
        <f>(D66*D66+D65*D65)/D67/D67</f>
        <v>0.67139068914315658</v>
      </c>
      <c r="E72">
        <f>D66*D66/D67/D67</f>
        <v>0.48279779893440466</v>
      </c>
      <c r="F72">
        <f>E66*E66/D67/E67</f>
        <v>3.3832897196261674E-2</v>
      </c>
      <c r="G72">
        <f t="shared" si="15"/>
        <v>3.3832897196261674E-2</v>
      </c>
      <c r="H72">
        <f>F66*F66/D67/F67</f>
        <v>3.7592107995846301E-2</v>
      </c>
      <c r="I72">
        <f t="shared" si="16"/>
        <v>3.7592107995846301E-2</v>
      </c>
    </row>
    <row r="73" spans="1:9" x14ac:dyDescent="0.25">
      <c r="A73" t="s">
        <v>25</v>
      </c>
      <c r="E73">
        <f>D72</f>
        <v>0.67139068914315658</v>
      </c>
      <c r="F73">
        <f>F72</f>
        <v>3.3832897196261674E-2</v>
      </c>
      <c r="G73">
        <f t="shared" si="15"/>
        <v>3.3832897196261674E-2</v>
      </c>
      <c r="H73">
        <f>H72</f>
        <v>3.7592107995846301E-2</v>
      </c>
      <c r="I73">
        <f t="shared" si="16"/>
        <v>3.7592107995846301E-2</v>
      </c>
    </row>
    <row r="74" spans="1:9" x14ac:dyDescent="0.25">
      <c r="A74" t="s">
        <v>26</v>
      </c>
      <c r="F74">
        <f>(E66*E66+E65*E65)/E67/E67</f>
        <v>0.36201199999999994</v>
      </c>
      <c r="G74">
        <f>E66*E66/E67/E67</f>
        <v>7.2402399999999978E-2</v>
      </c>
      <c r="H74">
        <f>(F66*F66+F65*F65)/E67/F67</f>
        <v>0.40223555555555546</v>
      </c>
      <c r="I74">
        <f>H75</f>
        <v>8.044711111111108E-2</v>
      </c>
    </row>
    <row r="75" spans="1:9" x14ac:dyDescent="0.25">
      <c r="A75" t="s">
        <v>27</v>
      </c>
      <c r="G75">
        <f>F74</f>
        <v>0.36201199999999994</v>
      </c>
      <c r="H75">
        <f>F66*F66/E67/F67</f>
        <v>8.044711111111108E-2</v>
      </c>
      <c r="I75">
        <f>H74</f>
        <v>0.40223555555555546</v>
      </c>
    </row>
    <row r="76" spans="1:9" x14ac:dyDescent="0.25">
      <c r="A76" t="s">
        <v>28</v>
      </c>
      <c r="H76">
        <f>(F66*F66+F65*F65)/F67/F67</f>
        <v>0.44692839506172827</v>
      </c>
      <c r="I76">
        <f>F66*F66/F67/F67</f>
        <v>8.9385679012345662E-2</v>
      </c>
    </row>
    <row r="77" spans="1:9" x14ac:dyDescent="0.25">
      <c r="A77" t="s">
        <v>29</v>
      </c>
      <c r="I77">
        <f>H76</f>
        <v>0.44692839506172827</v>
      </c>
    </row>
    <row r="79" spans="1:9" x14ac:dyDescent="0.25">
      <c r="A79" s="1" t="s">
        <v>3</v>
      </c>
    </row>
    <row r="80" spans="1:9" x14ac:dyDescent="0.25">
      <c r="B80" t="s">
        <v>4</v>
      </c>
      <c r="C80" t="s">
        <v>21</v>
      </c>
      <c r="D80" t="s">
        <v>22</v>
      </c>
      <c r="E80" t="s">
        <v>23</v>
      </c>
      <c r="F80" t="s">
        <v>14</v>
      </c>
    </row>
    <row r="81" spans="1:9" x14ac:dyDescent="0.25">
      <c r="A81" t="str">
        <f>A65</f>
        <v>Crustal commision error</v>
      </c>
      <c r="B81" s="5">
        <f>E4</f>
        <v>0</v>
      </c>
      <c r="C81">
        <f>I4</f>
        <v>0</v>
      </c>
      <c r="D81">
        <f>M4</f>
        <v>7.0427267446636035E-2</v>
      </c>
      <c r="E81">
        <f>E19*Q4</f>
        <v>6.0053309650676213E-2</v>
      </c>
      <c r="F81">
        <f>F19*U4</f>
        <v>4.8497422611928562E-2</v>
      </c>
    </row>
    <row r="82" spans="1:9" x14ac:dyDescent="0.25">
      <c r="A82" t="str">
        <f>A66</f>
        <v>Correlated crustal omission</v>
      </c>
      <c r="B82" s="5">
        <f>B20*E5</f>
        <v>0.17819090885901001</v>
      </c>
      <c r="C82">
        <f>C20*I5</f>
        <v>0.17819090885901001</v>
      </c>
      <c r="D82">
        <f>D20*M5</f>
        <v>0.11268362791461767</v>
      </c>
      <c r="E82">
        <f>E20*Q5</f>
        <v>3.0026654825338107E-2</v>
      </c>
      <c r="F82">
        <f>F20*U5</f>
        <v>2.4248711305964281E-2</v>
      </c>
    </row>
    <row r="83" spans="1:9" x14ac:dyDescent="0.25">
      <c r="A83" t="s">
        <v>6</v>
      </c>
      <c r="B83" s="5">
        <f>E7</f>
        <v>0.24</v>
      </c>
      <c r="C83">
        <f>I7</f>
        <v>0.2</v>
      </c>
      <c r="D83">
        <f>M7</f>
        <v>0.16</v>
      </c>
      <c r="E83">
        <f>Q7</f>
        <v>0.1</v>
      </c>
      <c r="F83">
        <f>U7</f>
        <v>0.08</v>
      </c>
    </row>
    <row r="85" spans="1:9" x14ac:dyDescent="0.25">
      <c r="B85" t="s">
        <v>4</v>
      </c>
      <c r="C85" t="s">
        <v>21</v>
      </c>
      <c r="D85" t="s">
        <v>24</v>
      </c>
      <c r="E85" t="s">
        <v>25</v>
      </c>
      <c r="F85" t="s">
        <v>26</v>
      </c>
      <c r="G85" t="s">
        <v>27</v>
      </c>
      <c r="H85" t="s">
        <v>28</v>
      </c>
      <c r="I85" t="s">
        <v>29</v>
      </c>
    </row>
    <row r="86" spans="1:9" x14ac:dyDescent="0.25">
      <c r="A86" t="s">
        <v>4</v>
      </c>
      <c r="B86">
        <f>B82*B82/(B83*B83)</f>
        <v>0.55125000000000013</v>
      </c>
      <c r="C86">
        <f>B82*C82/B83/C83</f>
        <v>0.6615000000000002</v>
      </c>
      <c r="D86">
        <f>D82*D82/B83/D83</f>
        <v>0.33066666666666672</v>
      </c>
      <c r="E86">
        <f t="shared" ref="E86:E87" si="17">D86</f>
        <v>0.33066666666666672</v>
      </c>
      <c r="F86">
        <f>E82*E82/B83/E83</f>
        <v>3.7566666666666672E-2</v>
      </c>
      <c r="G86">
        <f>F86</f>
        <v>3.7566666666666672E-2</v>
      </c>
      <c r="H86">
        <f>F82*F82/B83/F83</f>
        <v>3.0624999999999999E-2</v>
      </c>
      <c r="I86">
        <f>H86</f>
        <v>3.0624999999999999E-2</v>
      </c>
    </row>
    <row r="87" spans="1:9" x14ac:dyDescent="0.25">
      <c r="A87" t="s">
        <v>21</v>
      </c>
      <c r="C87">
        <f>C82*C82/C83/C83</f>
        <v>0.79380000000000017</v>
      </c>
      <c r="D87">
        <f>D82*D82/C83/D83</f>
        <v>0.39679999999999999</v>
      </c>
      <c r="E87">
        <f t="shared" si="17"/>
        <v>0.39679999999999999</v>
      </c>
      <c r="F87">
        <f>E82*E82/C83/E83</f>
        <v>4.5080000000000002E-2</v>
      </c>
      <c r="G87">
        <f t="shared" ref="G87:G89" si="18">F87</f>
        <v>4.5080000000000002E-2</v>
      </c>
      <c r="H87">
        <f>F82*F82/C83/F83</f>
        <v>3.6749999999999998E-2</v>
      </c>
      <c r="I87">
        <f t="shared" ref="I87:I89" si="19">H87</f>
        <v>3.6749999999999998E-2</v>
      </c>
    </row>
    <row r="88" spans="1:9" x14ac:dyDescent="0.25">
      <c r="A88" t="s">
        <v>24</v>
      </c>
      <c r="D88">
        <f>(D82*D82+D81*D81)/D83/D83</f>
        <v>0.68975000000000009</v>
      </c>
      <c r="E88">
        <f>D82*D82/D83/D83</f>
        <v>0.49600000000000005</v>
      </c>
      <c r="F88">
        <f>E82*E82/D83/E83</f>
        <v>5.6350000000000011E-2</v>
      </c>
      <c r="G88">
        <f t="shared" si="18"/>
        <v>5.6350000000000011E-2</v>
      </c>
      <c r="H88">
        <f>F82*F82/D83/F83</f>
        <v>4.5937499999999999E-2</v>
      </c>
      <c r="I88">
        <f t="shared" si="19"/>
        <v>4.5937499999999999E-2</v>
      </c>
    </row>
    <row r="89" spans="1:9" x14ac:dyDescent="0.25">
      <c r="A89" t="s">
        <v>25</v>
      </c>
      <c r="E89">
        <f>D88</f>
        <v>0.68975000000000009</v>
      </c>
      <c r="F89">
        <f>F88</f>
        <v>5.6350000000000011E-2</v>
      </c>
      <c r="G89">
        <f t="shared" si="18"/>
        <v>5.6350000000000011E-2</v>
      </c>
      <c r="H89">
        <f>H88</f>
        <v>4.5937499999999999E-2</v>
      </c>
      <c r="I89">
        <f t="shared" si="19"/>
        <v>4.5937499999999999E-2</v>
      </c>
    </row>
    <row r="90" spans="1:9" x14ac:dyDescent="0.25">
      <c r="A90" t="s">
        <v>26</v>
      </c>
      <c r="F90">
        <f>(E82*E82+E81*E81)/E83/E83</f>
        <v>0.45080000000000015</v>
      </c>
      <c r="G90">
        <f>E82*E82/E83/E83</f>
        <v>9.0160000000000004E-2</v>
      </c>
      <c r="H90">
        <f>(F82*F82+F81*F81)/E83/F83</f>
        <v>0.36749999999999999</v>
      </c>
      <c r="I90">
        <f>H91</f>
        <v>7.3499999999999996E-2</v>
      </c>
    </row>
    <row r="91" spans="1:9" x14ac:dyDescent="0.25">
      <c r="A91" t="s">
        <v>27</v>
      </c>
      <c r="G91">
        <f>F90</f>
        <v>0.45080000000000015</v>
      </c>
      <c r="H91">
        <f>F82*F82/E83/F83</f>
        <v>7.3499999999999996E-2</v>
      </c>
      <c r="I91">
        <f>H90</f>
        <v>0.36749999999999999</v>
      </c>
    </row>
    <row r="92" spans="1:9" x14ac:dyDescent="0.25">
      <c r="A92" t="s">
        <v>28</v>
      </c>
      <c r="H92">
        <f>(F82*F82+F81*F81)/F83/F83</f>
        <v>0.45937499999999998</v>
      </c>
      <c r="I92">
        <f>F82*F82/F83/F83</f>
        <v>9.1874999999999998E-2</v>
      </c>
    </row>
    <row r="93" spans="1:9" x14ac:dyDescent="0.25">
      <c r="A93" t="s">
        <v>29</v>
      </c>
      <c r="I93">
        <f>H92</f>
        <v>0.45937499999999998</v>
      </c>
    </row>
    <row r="95" spans="1:9" x14ac:dyDescent="0.25">
      <c r="A95" s="1" t="s">
        <v>37</v>
      </c>
    </row>
    <row r="96" spans="1:9" x14ac:dyDescent="0.25">
      <c r="A96" s="13"/>
      <c r="B96" s="12" t="s">
        <v>4</v>
      </c>
      <c r="C96" s="12" t="s">
        <v>21</v>
      </c>
      <c r="D96" s="12" t="s">
        <v>24</v>
      </c>
      <c r="E96" s="12" t="s">
        <v>25</v>
      </c>
      <c r="F96" s="12" t="s">
        <v>26</v>
      </c>
      <c r="G96" s="12" t="s">
        <v>27</v>
      </c>
      <c r="H96" s="12" t="s">
        <v>28</v>
      </c>
      <c r="I96" s="12" t="s">
        <v>29</v>
      </c>
    </row>
    <row r="97" spans="1:9" x14ac:dyDescent="0.25">
      <c r="A97" s="14" t="s">
        <v>4</v>
      </c>
      <c r="B97" s="6">
        <f>100*(B86+B70+B54+B38)/4</f>
        <v>54.531330287768711</v>
      </c>
      <c r="C97" s="6">
        <f t="shared" ref="C97:I98" si="20">100*(C86+C70+C54+C38)/4</f>
        <v>65.540142105402637</v>
      </c>
      <c r="D97" s="6">
        <f t="shared" si="20"/>
        <v>33.5043721129652</v>
      </c>
      <c r="E97" s="6">
        <f t="shared" si="20"/>
        <v>33.5043721129652</v>
      </c>
      <c r="F97" s="6">
        <f t="shared" si="20"/>
        <v>2.6563659570056299</v>
      </c>
      <c r="G97" s="6">
        <f t="shared" si="20"/>
        <v>2.6563659570056299</v>
      </c>
      <c r="H97" s="6">
        <f t="shared" si="20"/>
        <v>2.6207662590617011</v>
      </c>
      <c r="I97" s="6">
        <f t="shared" si="20"/>
        <v>2.6207662590617011</v>
      </c>
    </row>
    <row r="98" spans="1:9" x14ac:dyDescent="0.25">
      <c r="A98" s="7" t="s">
        <v>21</v>
      </c>
      <c r="B98" s="6"/>
      <c r="C98" s="6">
        <f t="shared" si="20"/>
        <v>78.772898171597646</v>
      </c>
      <c r="D98" s="6">
        <f t="shared" ref="D98" si="21">100*(D87+D71+D55+D39)/4</f>
        <v>40.267699103502089</v>
      </c>
      <c r="E98" s="6">
        <f t="shared" ref="E98" si="22">100*(E87+E71+E55+E39)/4</f>
        <v>40.267699103502089</v>
      </c>
      <c r="F98" s="6">
        <f t="shared" ref="F98" si="23">100*(F87+F71+F55+F39)/4</f>
        <v>3.1897179601139594</v>
      </c>
      <c r="G98" s="6">
        <f t="shared" ref="G98" si="24">100*(G87+G71+G55+G39)/4</f>
        <v>3.1897179601139594</v>
      </c>
      <c r="H98" s="6">
        <f t="shared" ref="H98" si="25">100*(H87+H71+H55+H39)/4</f>
        <v>3.1478764552706555</v>
      </c>
      <c r="I98" s="6">
        <f t="shared" ref="I98" si="26">100*(I87+I71+I55+I39)/4</f>
        <v>3.1478764552706555</v>
      </c>
    </row>
    <row r="99" spans="1:9" x14ac:dyDescent="0.25">
      <c r="A99" s="7" t="s">
        <v>24</v>
      </c>
      <c r="B99" s="6"/>
      <c r="C99" s="6"/>
      <c r="D99" s="6">
        <f t="shared" ref="D99" si="27">100*(D88+D72+D56+D40)/4</f>
        <v>68.289242981828224</v>
      </c>
      <c r="E99" s="6">
        <f t="shared" ref="E99" si="28">100*(E88+E72+E56+E40)/4</f>
        <v>49.106871357719164</v>
      </c>
      <c r="F99" s="6">
        <f t="shared" ref="F99" si="29">100*(F88+F72+F56+F40)/4</f>
        <v>3.9004182018562474</v>
      </c>
      <c r="G99" s="6">
        <f t="shared" ref="G99" si="30">100*(G88+G72+G56+G40)/4</f>
        <v>3.9004182018562474</v>
      </c>
      <c r="H99" s="6">
        <f t="shared" ref="H99" si="31">100*(H88+H72+H56+H40)/4</f>
        <v>3.8421511868909226</v>
      </c>
      <c r="I99" s="6">
        <f t="shared" ref="I99" si="32">100*(I88+I72+I56+I40)/4</f>
        <v>3.8421511868909226</v>
      </c>
    </row>
    <row r="100" spans="1:9" x14ac:dyDescent="0.25">
      <c r="A100" s="7" t="s">
        <v>25</v>
      </c>
      <c r="B100" s="6"/>
      <c r="C100" s="6"/>
      <c r="D100" s="6"/>
      <c r="E100" s="6">
        <f t="shared" ref="E100" si="33">100*(E89+E73+E57+E41)/4</f>
        <v>68.289242981828224</v>
      </c>
      <c r="F100" s="6">
        <f t="shared" ref="F100" si="34">100*(F89+F73+F57+F41)/4</f>
        <v>3.9004182018562474</v>
      </c>
      <c r="G100" s="6">
        <f t="shared" ref="G100" si="35">100*(G89+G73+G57+G41)/4</f>
        <v>3.9004182018562474</v>
      </c>
      <c r="H100" s="6">
        <f t="shared" ref="H100" si="36">100*(H89+H73+H57+H41)/4</f>
        <v>3.8421511868909226</v>
      </c>
      <c r="I100" s="6">
        <f t="shared" ref="I100" si="37">100*(I89+I73+I57+I41)/4</f>
        <v>3.8421511868909226</v>
      </c>
    </row>
    <row r="101" spans="1:9" x14ac:dyDescent="0.25">
      <c r="A101" s="7" t="s">
        <v>26</v>
      </c>
      <c r="B101" s="6"/>
      <c r="C101" s="6"/>
      <c r="D101" s="6"/>
      <c r="E101" s="6"/>
      <c r="F101" s="6">
        <f t="shared" ref="F101" si="38">100*(F90+F74+F58+F42)/4</f>
        <v>38.692033333333328</v>
      </c>
      <c r="G101" s="6">
        <f t="shared" ref="G101:G102" si="39">100*(G90+G74+G58+G42)/4</f>
        <v>7.7384066666666671</v>
      </c>
      <c r="H101" s="6">
        <f t="shared" ref="H101" si="40">100*(H90+H74+H58+H42)/4</f>
        <v>39.078207777777777</v>
      </c>
      <c r="I101" s="6">
        <f t="shared" ref="I101" si="41">100*(I90+I74+I58+I42)/4</f>
        <v>7.8156415555555556</v>
      </c>
    </row>
    <row r="102" spans="1:9" x14ac:dyDescent="0.25">
      <c r="A102" s="7" t="s">
        <v>27</v>
      </c>
      <c r="B102" s="6"/>
      <c r="C102" s="6"/>
      <c r="D102" s="6"/>
      <c r="E102" s="6"/>
      <c r="F102" s="6"/>
      <c r="G102" s="6">
        <f t="shared" si="39"/>
        <v>38.692033333333328</v>
      </c>
      <c r="H102" s="6">
        <f t="shared" ref="H102" si="42">100*(H91+H75+H59+H43)/4</f>
        <v>7.8156415555555556</v>
      </c>
      <c r="I102" s="6">
        <f t="shared" ref="I102" si="43">100*(I91+I75+I59+I43)/4</f>
        <v>39.078207777777777</v>
      </c>
    </row>
    <row r="103" spans="1:9" x14ac:dyDescent="0.25">
      <c r="A103" s="7" t="s">
        <v>28</v>
      </c>
      <c r="B103" s="6"/>
      <c r="C103" s="6"/>
      <c r="D103" s="6"/>
      <c r="E103" s="6"/>
      <c r="F103" s="6"/>
      <c r="G103" s="6"/>
      <c r="H103" s="6">
        <f t="shared" ref="H103" si="44">100*(H92+H76+H60+H44)/4</f>
        <v>44.183589765432096</v>
      </c>
      <c r="I103" s="6">
        <f t="shared" ref="I103" si="45">100*(I92+I76+I60+I44)/4</f>
        <v>8.8367179530864188</v>
      </c>
    </row>
    <row r="104" spans="1:9" x14ac:dyDescent="0.25">
      <c r="A104" s="13" t="s">
        <v>29</v>
      </c>
      <c r="B104" s="21"/>
      <c r="C104" s="21"/>
      <c r="D104" s="21"/>
      <c r="E104" s="21"/>
      <c r="F104" s="21"/>
      <c r="G104" s="21"/>
      <c r="H104" s="21"/>
      <c r="I104" s="21">
        <f t="shared" ref="I104" si="46">100*(I93+I77+I61+I45)/4</f>
        <v>44.183589765432096</v>
      </c>
    </row>
  </sheetData>
  <pageMargins left="0.7" right="0.7" top="0.75" bottom="0.75" header="0.3" footer="0.3"/>
  <pageSetup scale="5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71"/>
  <sheetViews>
    <sheetView tabSelected="1" workbookViewId="0">
      <selection activeCell="B53" sqref="B53"/>
    </sheetView>
  </sheetViews>
  <sheetFormatPr defaultRowHeight="15" x14ac:dyDescent="0.25"/>
  <cols>
    <col min="1" max="1" width="74" customWidth="1"/>
    <col min="3" max="3" width="11.85546875" customWidth="1"/>
    <col min="10" max="10" width="25.28515625" customWidth="1"/>
    <col min="12" max="12" width="12.7109375" style="76" customWidth="1"/>
  </cols>
  <sheetData>
    <row r="1" spans="1:31" x14ac:dyDescent="0.25">
      <c r="B1" s="1" t="s">
        <v>5</v>
      </c>
      <c r="C1" s="1"/>
      <c r="D1" s="1"/>
      <c r="E1" s="11"/>
      <c r="F1" s="1" t="s">
        <v>156</v>
      </c>
      <c r="G1" s="1"/>
      <c r="H1" s="1"/>
      <c r="I1" s="11"/>
      <c r="J1" s="1" t="s">
        <v>155</v>
      </c>
      <c r="K1" s="1"/>
      <c r="L1" s="75"/>
      <c r="M1" s="11"/>
      <c r="N1" s="1" t="s">
        <v>9</v>
      </c>
      <c r="O1" s="1"/>
      <c r="P1" s="1"/>
      <c r="Q1" s="11"/>
      <c r="R1" s="1" t="s">
        <v>30</v>
      </c>
      <c r="S1" s="1"/>
      <c r="T1" s="1"/>
    </row>
    <row r="2" spans="1:31" x14ac:dyDescent="0.25">
      <c r="A2" s="12" t="s">
        <v>17</v>
      </c>
      <c r="B2" s="12" t="s">
        <v>0</v>
      </c>
      <c r="C2" s="12" t="s">
        <v>1</v>
      </c>
      <c r="D2" s="12" t="s">
        <v>2</v>
      </c>
      <c r="E2" s="13" t="s">
        <v>3</v>
      </c>
      <c r="F2" s="12" t="s">
        <v>0</v>
      </c>
      <c r="G2" s="12" t="s">
        <v>1</v>
      </c>
      <c r="H2" s="12" t="s">
        <v>2</v>
      </c>
      <c r="I2" s="13" t="s">
        <v>3</v>
      </c>
      <c r="J2" s="12" t="s">
        <v>0</v>
      </c>
      <c r="K2" s="12" t="s">
        <v>1</v>
      </c>
      <c r="L2" s="52" t="s">
        <v>2</v>
      </c>
      <c r="M2" s="13" t="s">
        <v>3</v>
      </c>
      <c r="N2" s="12" t="s">
        <v>0</v>
      </c>
      <c r="O2" s="12" t="s">
        <v>1</v>
      </c>
      <c r="P2" s="12" t="s">
        <v>2</v>
      </c>
      <c r="Q2" s="13" t="s">
        <v>3</v>
      </c>
      <c r="R2" s="12" t="s">
        <v>0</v>
      </c>
      <c r="S2" s="12" t="s">
        <v>1</v>
      </c>
      <c r="T2" s="12" t="s">
        <v>2</v>
      </c>
      <c r="U2" s="12" t="s">
        <v>3</v>
      </c>
    </row>
    <row r="3" spans="1:31" x14ac:dyDescent="0.25">
      <c r="A3" s="7" t="s">
        <v>38</v>
      </c>
      <c r="B3" s="4">
        <f>SQRT(B7*B7-F7*F7+F3*F3)</f>
        <v>0.23853720883753124</v>
      </c>
      <c r="C3" s="15">
        <f t="shared" ref="C3:E3" si="0">SQRT(C7*C7-G7*G7+G3*G3)</f>
        <v>3405.707121876454</v>
      </c>
      <c r="D3" s="15">
        <f t="shared" si="0"/>
        <v>88.983144471298601</v>
      </c>
      <c r="E3" s="8">
        <f t="shared" si="0"/>
        <v>0.13416407864998736</v>
      </c>
      <c r="F3" s="3">
        <v>0.04</v>
      </c>
      <c r="G3" s="3">
        <v>500</v>
      </c>
      <c r="H3" s="3">
        <v>13</v>
      </c>
      <c r="I3" s="10">
        <v>0.02</v>
      </c>
      <c r="J3" s="3">
        <v>0.04</v>
      </c>
      <c r="K3" s="3">
        <v>500</v>
      </c>
      <c r="L3" s="77">
        <v>13</v>
      </c>
      <c r="M3" s="10">
        <v>0.02</v>
      </c>
      <c r="N3" s="3">
        <v>0.04</v>
      </c>
      <c r="O3" s="3">
        <v>500</v>
      </c>
      <c r="P3" s="3">
        <v>13</v>
      </c>
      <c r="Q3" s="10">
        <v>0.02</v>
      </c>
      <c r="R3" s="3">
        <v>0.04</v>
      </c>
      <c r="S3" s="3">
        <v>500</v>
      </c>
      <c r="T3" s="3">
        <v>13</v>
      </c>
      <c r="U3" s="3">
        <v>0.02</v>
      </c>
    </row>
    <row r="4" spans="1:31" x14ac:dyDescent="0.25">
      <c r="A4" s="7" t="s">
        <v>65</v>
      </c>
      <c r="B4" s="2"/>
      <c r="C4" s="15"/>
      <c r="D4" s="15"/>
      <c r="E4" s="9"/>
      <c r="F4" s="2"/>
      <c r="G4" s="2"/>
      <c r="H4" s="2"/>
      <c r="I4" s="9"/>
      <c r="J4" s="4">
        <f>SQRT((J7*J7-J3*J3-J6*J6)*1/5)</f>
        <v>0.1328909327230417</v>
      </c>
      <c r="K4" s="15">
        <f t="shared" ref="K4:M4" si="1">SQRT((K7*K7-K3*K3-K6*K6)*1/5)</f>
        <v>1788.9842928321086</v>
      </c>
      <c r="L4" s="78">
        <f t="shared" si="1"/>
        <v>46.467192727772996</v>
      </c>
      <c r="M4" s="8">
        <f t="shared" si="1"/>
        <v>7.0427267446636035E-2</v>
      </c>
      <c r="N4" s="4">
        <f>SQRT((N7*N7-N3*N3-N6*N6)*4/5)</f>
        <v>0.12899612397277679</v>
      </c>
      <c r="O4" s="15">
        <f t="shared" ref="O4:P4" si="2">SQRT((O7*O7-O3*O3-O6*O6)*4/5)</f>
        <v>1017.6050314341021</v>
      </c>
      <c r="P4" s="15">
        <f t="shared" si="2"/>
        <v>38.439562952770416</v>
      </c>
      <c r="Q4" s="8">
        <f>SQRT((Q7*Q7-Q3*Q3-Q6*Q6)*4/5)</f>
        <v>8.5790442358108884E-2</v>
      </c>
      <c r="R4" s="4">
        <f t="shared" ref="R4:U4" si="3">SQRT((R7*R7-R3*R3-R6*R6)*4/5)</f>
        <v>0.12930583900195691</v>
      </c>
      <c r="S4" s="15">
        <f t="shared" si="3"/>
        <v>1017.5558952706234</v>
      </c>
      <c r="T4" s="15">
        <f t="shared" si="3"/>
        <v>38.439562952770416</v>
      </c>
      <c r="U4" s="4">
        <f t="shared" si="3"/>
        <v>6.9282032302755092E-2</v>
      </c>
    </row>
    <row r="5" spans="1:31" x14ac:dyDescent="0.25">
      <c r="A5" s="7" t="s">
        <v>40</v>
      </c>
      <c r="B5" s="4">
        <f t="shared" ref="B5:E5" si="4">SQRT(B7*B7-B3*B3-B6*B6)</f>
        <v>0.35763109484495337</v>
      </c>
      <c r="C5" s="15">
        <f t="shared" si="4"/>
        <v>4903.5089476822614</v>
      </c>
      <c r="D5" s="15">
        <f t="shared" si="4"/>
        <v>127.46372032857036</v>
      </c>
      <c r="E5" s="8">
        <f t="shared" si="4"/>
        <v>0.19798989873223333</v>
      </c>
      <c r="F5" s="4">
        <f>SQRT(F7*F7-F3*F3-F6*F6)</f>
        <v>0.35763109484495337</v>
      </c>
      <c r="G5" s="15">
        <f t="shared" ref="G5:I5" si="5">SQRT(G7*G7-G3*G3-G6*G6)</f>
        <v>4903.5089476822614</v>
      </c>
      <c r="H5" s="15">
        <f t="shared" si="5"/>
        <v>127.46372032857036</v>
      </c>
      <c r="I5" s="8">
        <f t="shared" si="5"/>
        <v>0.19798989873223333</v>
      </c>
      <c r="J5" s="4">
        <f>SQRT((J7*J7-J3*J3-J6*J6)*4/5)</f>
        <v>0.2657818654460834</v>
      </c>
      <c r="K5" s="15">
        <f>SQRT((K7*K7-K3*K3-K6*K6)*4/5)</f>
        <v>3577.9685856642172</v>
      </c>
      <c r="L5" s="78">
        <f>SQRT((L7*L7-L3*L3-L6*L6)*4/5)</f>
        <v>92.934385455545993</v>
      </c>
      <c r="M5" s="8">
        <f>SQRT((M7*M7-M3*M3-M6*M6)*4/5)</f>
        <v>0.14085453489327207</v>
      </c>
      <c r="N5" s="4">
        <f>SQRT((N7*N7-N3*N3-N6*N6)*1/5)</f>
        <v>6.4498061986388397E-2</v>
      </c>
      <c r="O5" s="15">
        <f t="shared" ref="O5:P5" si="6">SQRT((O7*O7-O3*O3-O6*O6)*1/5)</f>
        <v>508.80251571705105</v>
      </c>
      <c r="P5" s="15">
        <f t="shared" si="6"/>
        <v>19.219781476385208</v>
      </c>
      <c r="Q5" s="8">
        <f>SQRT((Q7*Q7-Q3*Q3-Q6*Q6)*1/5)</f>
        <v>4.2895221179054442E-2</v>
      </c>
      <c r="R5" s="4">
        <f t="shared" ref="R5:U5" si="7">SQRT((R7*R7-R3*R3-R6*R6)*1/5)</f>
        <v>6.4652919500978456E-2</v>
      </c>
      <c r="S5" s="15">
        <f t="shared" si="7"/>
        <v>508.7779476353117</v>
      </c>
      <c r="T5" s="15">
        <f t="shared" si="7"/>
        <v>19.219781476385208</v>
      </c>
      <c r="U5" s="4">
        <f t="shared" si="7"/>
        <v>3.4641016151377546E-2</v>
      </c>
    </row>
    <row r="6" spans="1:31" x14ac:dyDescent="0.25">
      <c r="A6" s="16" t="s">
        <v>41</v>
      </c>
      <c r="B6" s="17">
        <v>0.01</v>
      </c>
      <c r="C6" s="17">
        <v>840</v>
      </c>
      <c r="D6" s="17">
        <v>22</v>
      </c>
      <c r="E6" s="16">
        <v>0.02</v>
      </c>
      <c r="F6" s="17">
        <v>0.01</v>
      </c>
      <c r="G6" s="17">
        <v>840</v>
      </c>
      <c r="H6" s="17">
        <v>22</v>
      </c>
      <c r="I6" s="16">
        <v>0.02</v>
      </c>
      <c r="J6" s="17">
        <v>0.01</v>
      </c>
      <c r="K6" s="17">
        <v>840</v>
      </c>
      <c r="L6" s="79">
        <v>22</v>
      </c>
      <c r="M6" s="16">
        <v>0.02</v>
      </c>
      <c r="N6" s="17">
        <v>0.01</v>
      </c>
      <c r="O6" s="17">
        <v>840</v>
      </c>
      <c r="P6" s="17">
        <v>22</v>
      </c>
      <c r="Q6" s="16">
        <v>0.02</v>
      </c>
      <c r="R6" s="17">
        <v>0</v>
      </c>
      <c r="S6" s="17">
        <v>135</v>
      </c>
      <c r="T6" s="17">
        <v>3</v>
      </c>
      <c r="U6" s="17">
        <v>0</v>
      </c>
    </row>
    <row r="7" spans="1:31" x14ac:dyDescent="0.25">
      <c r="A7" s="11" t="s">
        <v>6</v>
      </c>
      <c r="B7" s="1">
        <v>0.43</v>
      </c>
      <c r="C7" s="1">
        <v>6029</v>
      </c>
      <c r="D7" s="1">
        <v>157</v>
      </c>
      <c r="E7" s="11">
        <v>0.24</v>
      </c>
      <c r="F7" s="1">
        <v>0.36</v>
      </c>
      <c r="G7" s="1">
        <v>5000</v>
      </c>
      <c r="H7" s="1">
        <v>130</v>
      </c>
      <c r="I7" s="11">
        <v>0.2</v>
      </c>
      <c r="J7" s="1">
        <v>0.3</v>
      </c>
      <c r="K7" s="1">
        <v>4118</v>
      </c>
      <c r="L7" s="75">
        <v>107</v>
      </c>
      <c r="M7" s="11">
        <v>0.16</v>
      </c>
      <c r="N7" s="1">
        <v>0.15</v>
      </c>
      <c r="O7" s="1">
        <v>1500</v>
      </c>
      <c r="P7" s="1">
        <v>50</v>
      </c>
      <c r="Q7" s="11">
        <v>0.1</v>
      </c>
      <c r="R7" s="1">
        <v>0.15</v>
      </c>
      <c r="S7" s="1">
        <v>1250</v>
      </c>
      <c r="T7" s="1">
        <v>45</v>
      </c>
      <c r="U7" s="1">
        <v>0.08</v>
      </c>
    </row>
    <row r="8" spans="1:31" x14ac:dyDescent="0.25">
      <c r="E8" s="5"/>
      <c r="F8" s="5"/>
      <c r="G8" s="5"/>
      <c r="H8" s="5"/>
      <c r="I8" s="5"/>
    </row>
    <row r="9" spans="1:31" x14ac:dyDescent="0.25">
      <c r="E9" s="82"/>
      <c r="F9" s="82"/>
      <c r="G9" s="82"/>
      <c r="H9" s="82"/>
      <c r="I9" s="82"/>
    </row>
    <row r="10" spans="1:31" x14ac:dyDescent="0.25">
      <c r="A10" s="19"/>
      <c r="H10" s="6"/>
      <c r="I10" s="6"/>
    </row>
    <row r="11" spans="1:31" x14ac:dyDescent="0.25">
      <c r="A11" s="1"/>
      <c r="B11" s="1"/>
      <c r="C11" s="30"/>
      <c r="D11" s="30"/>
      <c r="E11" s="30" t="s">
        <v>66</v>
      </c>
      <c r="F11" s="30" t="s">
        <v>67</v>
      </c>
      <c r="G11" s="30" t="s">
        <v>68</v>
      </c>
      <c r="H11" s="30"/>
      <c r="I11" s="30"/>
    </row>
    <row r="12" spans="1:31" ht="30" x14ac:dyDescent="0.25">
      <c r="A12" s="1" t="s">
        <v>69</v>
      </c>
      <c r="B12" s="1" t="s">
        <v>70</v>
      </c>
      <c r="C12" s="30" t="s">
        <v>71</v>
      </c>
      <c r="D12" s="30" t="s">
        <v>72</v>
      </c>
      <c r="E12" s="31" t="s">
        <v>73</v>
      </c>
      <c r="F12" s="31" t="s">
        <v>151</v>
      </c>
      <c r="G12" s="31" t="s">
        <v>152</v>
      </c>
      <c r="H12" s="31" t="s">
        <v>23</v>
      </c>
      <c r="I12" s="31" t="s">
        <v>14</v>
      </c>
      <c r="J12" s="32"/>
      <c r="M12" s="96"/>
      <c r="N12" s="96"/>
      <c r="O12" s="96"/>
      <c r="P12" s="96"/>
      <c r="Q12" s="96"/>
      <c r="R12" s="96"/>
      <c r="S12" s="96"/>
      <c r="T12" s="96"/>
      <c r="U12" s="96"/>
      <c r="V12" s="96"/>
      <c r="W12" s="96"/>
      <c r="X12" s="96"/>
      <c r="Y12" s="96"/>
      <c r="Z12" s="96"/>
      <c r="AA12" s="96"/>
      <c r="AB12" s="96"/>
      <c r="AC12" s="96"/>
      <c r="AD12" s="96"/>
      <c r="AE12" s="96"/>
    </row>
    <row r="13" spans="1:31" x14ac:dyDescent="0.25">
      <c r="A13" s="33" t="s">
        <v>74</v>
      </c>
      <c r="B13" s="34" t="s">
        <v>0</v>
      </c>
      <c r="C13" s="35" t="s">
        <v>75</v>
      </c>
      <c r="D13" s="35" t="s">
        <v>76</v>
      </c>
      <c r="E13" s="35">
        <f>B7</f>
        <v>0.43</v>
      </c>
      <c r="F13" s="35">
        <f>F7</f>
        <v>0.36</v>
      </c>
      <c r="G13" s="35">
        <f>J7</f>
        <v>0.3</v>
      </c>
      <c r="H13" s="35">
        <f>N7</f>
        <v>0.15</v>
      </c>
      <c r="I13" s="35">
        <f>R7</f>
        <v>0.15</v>
      </c>
      <c r="J13" s="83" t="s">
        <v>77</v>
      </c>
    </row>
    <row r="14" spans="1:31" x14ac:dyDescent="0.25">
      <c r="A14" s="33" t="s">
        <v>84</v>
      </c>
      <c r="B14" s="34" t="s">
        <v>85</v>
      </c>
      <c r="C14" s="35" t="s">
        <v>86</v>
      </c>
      <c r="D14" s="35" t="s">
        <v>76</v>
      </c>
      <c r="E14" s="35">
        <v>0.1</v>
      </c>
      <c r="F14" s="35">
        <v>0.1</v>
      </c>
      <c r="G14" s="35">
        <v>0.1</v>
      </c>
      <c r="H14" s="35">
        <v>0.1</v>
      </c>
      <c r="I14" s="35">
        <v>0.05</v>
      </c>
      <c r="J14" s="83"/>
    </row>
    <row r="15" spans="1:31" ht="15" customHeight="1" x14ac:dyDescent="0.25">
      <c r="A15" s="36" t="s">
        <v>111</v>
      </c>
      <c r="B15" s="37" t="s">
        <v>118</v>
      </c>
      <c r="C15" s="38" t="s">
        <v>78</v>
      </c>
      <c r="D15" s="38" t="s">
        <v>76</v>
      </c>
      <c r="E15" s="39">
        <f>SQRT(B7^2-E16^2-E17^2-'Numerical derivation'!B34^2)</f>
        <v>0.28513330215883231</v>
      </c>
      <c r="F15" s="39">
        <f>SQRT(F7^2-F16^2-F17^2-'Numerical derivation'!C34^2)</f>
        <v>0.16124825580452015</v>
      </c>
      <c r="G15" s="39">
        <f>SQRT(J7^2-G16^2-G17^2-'Numerical derivation'!D34^2)</f>
        <v>0.16471308387617545</v>
      </c>
      <c r="H15" s="39">
        <f>SQRT(N7^2-H16^2-H17^2-'Numerical derivation'!E34^2)</f>
        <v>0.1109414259868693</v>
      </c>
      <c r="I15" s="39">
        <f>SQRT(R7^2-I16^2-I17^2-'Numerical derivation'!F34^2)</f>
        <v>0.11072036849649661</v>
      </c>
      <c r="J15" s="84" t="s">
        <v>79</v>
      </c>
      <c r="M15" s="72"/>
      <c r="N15" s="59"/>
      <c r="O15" s="59"/>
      <c r="P15" s="59"/>
      <c r="Q15" s="59"/>
      <c r="R15" s="59"/>
    </row>
    <row r="16" spans="1:31" x14ac:dyDescent="0.25">
      <c r="A16" s="36" t="s">
        <v>80</v>
      </c>
      <c r="B16" s="37" t="s">
        <v>81</v>
      </c>
      <c r="C16" s="38" t="s">
        <v>75</v>
      </c>
      <c r="D16" s="38" t="s">
        <v>76</v>
      </c>
      <c r="E16" s="40"/>
      <c r="F16" s="40"/>
      <c r="G16" s="39">
        <f>J4</f>
        <v>0.1328909327230417</v>
      </c>
      <c r="H16" s="40"/>
      <c r="I16" s="40"/>
      <c r="J16" s="85"/>
      <c r="K16" s="50"/>
      <c r="M16" s="59"/>
      <c r="N16" s="59"/>
      <c r="O16" s="59"/>
      <c r="P16" s="59"/>
      <c r="Q16" s="59"/>
      <c r="R16" s="59"/>
      <c r="T16" s="4"/>
      <c r="U16" s="4"/>
      <c r="V16" s="4"/>
      <c r="W16" s="5"/>
      <c r="X16" s="5"/>
      <c r="Y16" s="5"/>
      <c r="AA16" s="5"/>
      <c r="AB16" s="5"/>
      <c r="AC16" s="5"/>
      <c r="AD16" s="5"/>
      <c r="AE16" s="5"/>
    </row>
    <row r="17" spans="1:31" x14ac:dyDescent="0.25">
      <c r="A17" s="36" t="s">
        <v>82</v>
      </c>
      <c r="B17" s="37" t="s">
        <v>83</v>
      </c>
      <c r="C17" s="38" t="s">
        <v>75</v>
      </c>
      <c r="D17" s="97" t="s">
        <v>76</v>
      </c>
      <c r="E17" s="98"/>
      <c r="F17" s="98"/>
      <c r="G17" s="98"/>
      <c r="H17" s="39">
        <f>'Numerical derivation'!E33</f>
        <v>9.0297286780943745E-2</v>
      </c>
      <c r="I17" s="39">
        <f>'Numerical derivation'!F33</f>
        <v>9.0514087301369839E-2</v>
      </c>
      <c r="J17" s="84"/>
      <c r="K17" s="50"/>
      <c r="M17" s="59"/>
      <c r="N17" s="59"/>
      <c r="O17" s="59"/>
      <c r="P17" s="59"/>
      <c r="Q17" s="59"/>
      <c r="R17" s="59"/>
      <c r="T17" s="5"/>
      <c r="U17" s="4"/>
      <c r="V17" s="4"/>
      <c r="W17" s="5"/>
      <c r="X17" s="5"/>
      <c r="Y17" s="5"/>
      <c r="AA17" s="5"/>
      <c r="AB17" s="5"/>
      <c r="AC17" s="5"/>
      <c r="AD17" s="5"/>
      <c r="AE17" s="5"/>
    </row>
    <row r="18" spans="1:31" x14ac:dyDescent="0.25">
      <c r="A18" s="36" t="s">
        <v>122</v>
      </c>
      <c r="B18" s="37" t="s">
        <v>120</v>
      </c>
      <c r="C18" s="38" t="s">
        <v>75</v>
      </c>
      <c r="D18" s="97" t="s">
        <v>76</v>
      </c>
      <c r="E18" s="74">
        <f>F18</f>
        <v>0.24163898692057131</v>
      </c>
      <c r="F18" s="74">
        <f>SQRT('Numerical derivation'!C34^2-F19^2-F20^2)</f>
        <v>0.24163898692057131</v>
      </c>
      <c r="G18" s="74"/>
      <c r="H18" s="74"/>
      <c r="I18" s="74"/>
      <c r="J18" s="84"/>
      <c r="K18" s="51"/>
      <c r="L18" s="80"/>
      <c r="M18" s="59"/>
      <c r="N18" s="59"/>
      <c r="O18" s="59"/>
      <c r="P18" s="59"/>
      <c r="Q18" s="59"/>
      <c r="R18" s="59"/>
      <c r="T18" s="5"/>
      <c r="U18" s="5"/>
      <c r="V18" s="4"/>
      <c r="W18" s="4"/>
      <c r="X18" s="5"/>
      <c r="Y18" s="5"/>
      <c r="AA18" s="5"/>
      <c r="AB18" s="5"/>
      <c r="AC18" s="5"/>
      <c r="AD18" s="5"/>
      <c r="AE18" s="5"/>
    </row>
    <row r="19" spans="1:31" x14ac:dyDescent="0.25">
      <c r="A19" s="36" t="s">
        <v>123</v>
      </c>
      <c r="B19" s="37" t="s">
        <v>119</v>
      </c>
      <c r="C19" s="38" t="s">
        <v>75</v>
      </c>
      <c r="D19" s="97" t="s">
        <v>76</v>
      </c>
      <c r="E19" s="74">
        <f>F19</f>
        <v>0.2066630107203512</v>
      </c>
      <c r="F19" s="74">
        <f>G19</f>
        <v>0.2066630107203512</v>
      </c>
      <c r="G19" s="74">
        <f>SQRT('Numerical derivation'!D34^2-0.05^2)</f>
        <v>0.2066630107203512</v>
      </c>
      <c r="H19" s="74"/>
      <c r="I19" s="74"/>
      <c r="J19" s="84"/>
      <c r="K19" s="51"/>
      <c r="L19" s="80"/>
      <c r="M19" s="59"/>
      <c r="N19" s="59"/>
      <c r="O19" s="59"/>
      <c r="P19" s="59"/>
      <c r="Q19" s="59"/>
      <c r="R19" s="59"/>
      <c r="T19" s="5"/>
      <c r="U19" s="5"/>
      <c r="V19" s="5"/>
      <c r="W19" s="5"/>
      <c r="X19" s="4"/>
      <c r="Y19" s="4"/>
      <c r="AA19" s="5"/>
      <c r="AB19" s="5"/>
      <c r="AC19" s="5"/>
      <c r="AD19" s="5"/>
      <c r="AE19" s="5"/>
    </row>
    <row r="20" spans="1:31" x14ac:dyDescent="0.25">
      <c r="A20" s="36" t="s">
        <v>124</v>
      </c>
      <c r="B20" s="37" t="s">
        <v>121</v>
      </c>
      <c r="C20" s="38" t="s">
        <v>75</v>
      </c>
      <c r="D20" s="97" t="s">
        <v>76</v>
      </c>
      <c r="E20" s="74">
        <v>0.05</v>
      </c>
      <c r="F20" s="74">
        <v>0.05</v>
      </c>
      <c r="G20" s="74">
        <v>0.05</v>
      </c>
      <c r="H20" s="74">
        <f>'Numerical derivation'!E34</f>
        <v>4.5148643390471872E-2</v>
      </c>
      <c r="I20" s="74">
        <f>'Numerical derivation'!F34</f>
        <v>4.5257043650684919E-2</v>
      </c>
      <c r="J20" s="84"/>
      <c r="K20" s="51"/>
      <c r="L20" s="80"/>
      <c r="M20" s="59"/>
      <c r="N20" s="59"/>
      <c r="O20" s="59"/>
      <c r="P20" s="59"/>
      <c r="Q20" s="59"/>
      <c r="R20" s="59"/>
      <c r="T20" s="5"/>
      <c r="U20" s="5"/>
      <c r="V20" s="5"/>
      <c r="W20" s="5"/>
      <c r="X20" s="4"/>
      <c r="Y20" s="4"/>
      <c r="AA20" s="5"/>
      <c r="AB20" s="5"/>
      <c r="AC20" s="5"/>
      <c r="AD20" s="5"/>
      <c r="AE20" s="5"/>
    </row>
    <row r="21" spans="1:31" x14ac:dyDescent="0.25">
      <c r="A21" s="71" t="s">
        <v>84</v>
      </c>
      <c r="B21" s="36" t="s">
        <v>85</v>
      </c>
      <c r="C21" s="38" t="s">
        <v>86</v>
      </c>
      <c r="D21" s="38" t="s">
        <v>76</v>
      </c>
      <c r="E21" s="38">
        <v>0.1</v>
      </c>
      <c r="F21" s="38">
        <v>0.1</v>
      </c>
      <c r="G21" s="38">
        <v>0.1</v>
      </c>
      <c r="H21" s="38">
        <v>0.1</v>
      </c>
      <c r="I21" s="38">
        <v>0.05</v>
      </c>
      <c r="J21" s="86" t="s">
        <v>87</v>
      </c>
      <c r="K21" s="19"/>
      <c r="M21" s="73"/>
    </row>
    <row r="22" spans="1:31" x14ac:dyDescent="0.25">
      <c r="C22" s="32"/>
      <c r="D22" s="32"/>
      <c r="E22" s="41"/>
      <c r="F22" s="41"/>
      <c r="G22" s="41"/>
      <c r="H22" s="41"/>
      <c r="I22" s="41"/>
      <c r="J22" s="32"/>
      <c r="K22" s="5"/>
      <c r="L22" s="41"/>
      <c r="M22" s="5"/>
      <c r="N22" s="5"/>
      <c r="O22" s="5"/>
    </row>
    <row r="23" spans="1:31" x14ac:dyDescent="0.25">
      <c r="A23" s="33" t="s">
        <v>88</v>
      </c>
      <c r="B23" s="34" t="s">
        <v>1</v>
      </c>
      <c r="C23" s="35" t="s">
        <v>75</v>
      </c>
      <c r="D23" s="35" t="s">
        <v>89</v>
      </c>
      <c r="E23" s="35">
        <f>C7</f>
        <v>6029</v>
      </c>
      <c r="F23" s="35">
        <f>G7</f>
        <v>5000</v>
      </c>
      <c r="G23" s="35">
        <f>K7</f>
        <v>4118</v>
      </c>
      <c r="H23" s="35">
        <f>O7</f>
        <v>1500</v>
      </c>
      <c r="I23" s="35">
        <f>S7</f>
        <v>1250</v>
      </c>
      <c r="J23" s="32"/>
    </row>
    <row r="24" spans="1:31" x14ac:dyDescent="0.25">
      <c r="A24" s="33" t="s">
        <v>88</v>
      </c>
      <c r="B24" s="34" t="s">
        <v>94</v>
      </c>
      <c r="C24" s="35" t="s">
        <v>86</v>
      </c>
      <c r="D24" s="35" t="s">
        <v>89</v>
      </c>
      <c r="E24" s="35">
        <v>3000</v>
      </c>
      <c r="F24" s="35">
        <v>3000</v>
      </c>
      <c r="G24" s="35">
        <v>3000</v>
      </c>
      <c r="H24" s="35">
        <v>3000</v>
      </c>
      <c r="I24" s="35">
        <v>750</v>
      </c>
      <c r="J24" s="32"/>
    </row>
    <row r="25" spans="1:31" x14ac:dyDescent="0.25">
      <c r="A25" s="36" t="s">
        <v>112</v>
      </c>
      <c r="B25" s="37" t="s">
        <v>117</v>
      </c>
      <c r="C25" s="38" t="s">
        <v>78</v>
      </c>
      <c r="D25" s="38" t="s">
        <v>89</v>
      </c>
      <c r="E25" s="42">
        <f>SQRT(C7^2-E26^2-E27^2-'Numerical derivation'!B50^2)</f>
        <v>4107.6607698299531</v>
      </c>
      <c r="F25" s="42">
        <f>SQRT(G7^2-F26^2-F27^2-'Numerical derivation'!C50^2)</f>
        <v>2350.3267857895848</v>
      </c>
      <c r="G25" s="42">
        <f>SQRT(K7^2-G26^2-G27^2-'Numerical derivation'!D50^2)</f>
        <v>2358.8703465854155</v>
      </c>
      <c r="H25" s="42">
        <f>SQRT(O7^2-H26^2-H27^2-'Numerical derivation'!E50^2)</f>
        <v>1271.1191918935062</v>
      </c>
      <c r="I25" s="42">
        <f>SQRT(S7^2-I26^2-I27^2-'Numerical derivation'!F50^2)</f>
        <v>963.48598848141023</v>
      </c>
      <c r="J25" s="43"/>
      <c r="M25" s="72"/>
      <c r="N25" s="59"/>
      <c r="O25" s="59"/>
      <c r="P25" s="59"/>
      <c r="Q25" s="59"/>
      <c r="R25" s="59"/>
    </row>
    <row r="26" spans="1:31" x14ac:dyDescent="0.25">
      <c r="A26" s="36" t="s">
        <v>90</v>
      </c>
      <c r="B26" s="37" t="s">
        <v>91</v>
      </c>
      <c r="C26" s="38" t="s">
        <v>75</v>
      </c>
      <c r="D26" s="38" t="s">
        <v>89</v>
      </c>
      <c r="E26" s="44"/>
      <c r="F26" s="44"/>
      <c r="G26" s="42">
        <f>K4</f>
        <v>1788.9842928321086</v>
      </c>
      <c r="H26" s="44"/>
      <c r="I26" s="44"/>
      <c r="J26" s="43"/>
      <c r="M26" s="59"/>
      <c r="N26" s="59"/>
      <c r="O26" s="59"/>
      <c r="P26" s="59"/>
      <c r="Q26" s="59"/>
      <c r="R26" s="59"/>
      <c r="AA26" s="5"/>
      <c r="AB26" s="5"/>
      <c r="AC26" s="5"/>
      <c r="AD26" s="5"/>
      <c r="AE26" s="5"/>
    </row>
    <row r="27" spans="1:31" x14ac:dyDescent="0.25">
      <c r="A27" s="36" t="s">
        <v>92</v>
      </c>
      <c r="B27" s="37" t="s">
        <v>93</v>
      </c>
      <c r="C27" s="38" t="s">
        <v>75</v>
      </c>
      <c r="D27" s="38" t="s">
        <v>89</v>
      </c>
      <c r="E27" s="44"/>
      <c r="F27" s="44"/>
      <c r="G27" s="44"/>
      <c r="H27" s="42">
        <f>'Numerical derivation'!E49</f>
        <v>712.3235220038714</v>
      </c>
      <c r="I27" s="42">
        <f>'Numerical derivation'!F49</f>
        <v>712.28912668943633</v>
      </c>
      <c r="J27" s="43"/>
      <c r="M27" s="59"/>
      <c r="N27" s="59"/>
      <c r="O27" s="59"/>
      <c r="P27" s="59"/>
      <c r="Q27" s="59"/>
      <c r="R27" s="59"/>
      <c r="AA27" s="5"/>
      <c r="AB27" s="5"/>
      <c r="AC27" s="5"/>
      <c r="AD27" s="5"/>
      <c r="AE27" s="5"/>
    </row>
    <row r="28" spans="1:31" x14ac:dyDescent="0.25">
      <c r="A28" s="36" t="s">
        <v>128</v>
      </c>
      <c r="B28" s="37" t="s">
        <v>125</v>
      </c>
      <c r="C28" s="38" t="s">
        <v>75</v>
      </c>
      <c r="D28" s="38" t="s">
        <v>89</v>
      </c>
      <c r="E28" s="44">
        <f>F28</f>
        <v>3358.9840892746129</v>
      </c>
      <c r="F28" s="44">
        <f>SQRT('Numerical derivation'!C50^2-F29^2-F30^2)</f>
        <v>3358.9840892746129</v>
      </c>
      <c r="G28" s="44"/>
      <c r="H28" s="42"/>
      <c r="I28" s="42"/>
      <c r="J28" s="43"/>
      <c r="M28" s="59"/>
      <c r="N28" s="59"/>
      <c r="O28" s="59"/>
      <c r="P28" s="59"/>
      <c r="Q28" s="59"/>
      <c r="R28" s="59"/>
      <c r="AA28" s="5"/>
      <c r="AB28" s="5"/>
      <c r="AC28" s="5"/>
      <c r="AD28" s="5"/>
      <c r="AE28" s="5"/>
    </row>
    <row r="29" spans="1:31" x14ac:dyDescent="0.25">
      <c r="A29" s="36" t="s">
        <v>129</v>
      </c>
      <c r="B29" s="37" t="s">
        <v>126</v>
      </c>
      <c r="C29" s="38" t="s">
        <v>75</v>
      </c>
      <c r="D29" s="38" t="s">
        <v>89</v>
      </c>
      <c r="E29" s="44">
        <f>F29</f>
        <v>2840.1300477266882</v>
      </c>
      <c r="F29" s="44">
        <f>G29</f>
        <v>2840.1300477266882</v>
      </c>
      <c r="G29" s="44">
        <f>SQRT('Numerical derivation'!D50^2-G30^2)</f>
        <v>2840.1300477266882</v>
      </c>
      <c r="H29" s="42"/>
      <c r="I29" s="42"/>
      <c r="J29" s="43"/>
      <c r="M29" s="59"/>
      <c r="N29" s="59"/>
      <c r="O29" s="59"/>
      <c r="P29" s="59"/>
      <c r="Q29" s="59"/>
      <c r="R29" s="59"/>
      <c r="AA29" s="5"/>
      <c r="AB29" s="5"/>
      <c r="AC29" s="5"/>
      <c r="AD29" s="5"/>
      <c r="AE29" s="5"/>
    </row>
    <row r="30" spans="1:31" x14ac:dyDescent="0.25">
      <c r="A30" s="36" t="s">
        <v>130</v>
      </c>
      <c r="B30" s="37" t="s">
        <v>127</v>
      </c>
      <c r="C30" s="38" t="s">
        <v>75</v>
      </c>
      <c r="D30" s="38" t="s">
        <v>89</v>
      </c>
      <c r="E30" s="42">
        <f t="shared" ref="E30:G30" si="8">F30</f>
        <v>356.1617610019357</v>
      </c>
      <c r="F30" s="42">
        <f t="shared" si="8"/>
        <v>356.1617610019357</v>
      </c>
      <c r="G30" s="42">
        <f t="shared" si="8"/>
        <v>356.1617610019357</v>
      </c>
      <c r="H30" s="42">
        <f>'Numerical derivation'!E50</f>
        <v>356.1617610019357</v>
      </c>
      <c r="I30" s="42">
        <f>'Numerical derivation'!F50</f>
        <v>356.14456334471816</v>
      </c>
      <c r="J30" s="43"/>
      <c r="M30" s="59"/>
      <c r="N30" s="59"/>
      <c r="O30" s="59"/>
      <c r="P30" s="59"/>
      <c r="Q30" s="59"/>
      <c r="R30" s="59"/>
      <c r="AA30" s="5"/>
      <c r="AB30" s="5"/>
      <c r="AC30" s="5"/>
      <c r="AD30" s="5"/>
      <c r="AE30" s="5"/>
    </row>
    <row r="31" spans="1:31" x14ac:dyDescent="0.25">
      <c r="A31" s="71" t="s">
        <v>88</v>
      </c>
      <c r="B31" s="36" t="s">
        <v>94</v>
      </c>
      <c r="C31" s="38" t="s">
        <v>86</v>
      </c>
      <c r="D31" s="38" t="s">
        <v>89</v>
      </c>
      <c r="E31" s="38">
        <v>3000</v>
      </c>
      <c r="F31" s="38">
        <v>3000</v>
      </c>
      <c r="G31" s="38">
        <v>3000</v>
      </c>
      <c r="H31" s="38">
        <v>3000</v>
      </c>
      <c r="I31" s="38">
        <v>750</v>
      </c>
      <c r="J31" s="43"/>
    </row>
    <row r="32" spans="1:31" x14ac:dyDescent="0.25">
      <c r="C32" s="32"/>
      <c r="D32" s="32"/>
      <c r="E32" s="41"/>
      <c r="F32" s="41"/>
      <c r="G32" s="41"/>
      <c r="H32" s="41"/>
      <c r="I32" s="41"/>
      <c r="J32" s="43"/>
      <c r="K32" s="59"/>
      <c r="L32" s="41"/>
      <c r="M32" s="59"/>
      <c r="N32" s="59"/>
      <c r="O32" s="59"/>
      <c r="P32" s="5"/>
    </row>
    <row r="33" spans="1:31" x14ac:dyDescent="0.25">
      <c r="A33" s="33" t="s">
        <v>95</v>
      </c>
      <c r="B33" s="34" t="s">
        <v>2</v>
      </c>
      <c r="C33" s="35" t="s">
        <v>75</v>
      </c>
      <c r="D33" s="35" t="s">
        <v>110</v>
      </c>
      <c r="E33" s="35">
        <f>D7</f>
        <v>157</v>
      </c>
      <c r="F33" s="35">
        <f>H7</f>
        <v>130</v>
      </c>
      <c r="G33" s="35">
        <f>L7</f>
        <v>107</v>
      </c>
      <c r="H33" s="35">
        <f>P7</f>
        <v>50</v>
      </c>
      <c r="I33" s="35">
        <f>T7</f>
        <v>45</v>
      </c>
      <c r="J33" s="43"/>
      <c r="K33" s="5"/>
      <c r="L33" s="81"/>
      <c r="M33" s="5"/>
      <c r="N33" s="5"/>
      <c r="O33" s="5"/>
      <c r="P33" s="5"/>
    </row>
    <row r="34" spans="1:31" x14ac:dyDescent="0.25">
      <c r="A34" s="33" t="s">
        <v>101</v>
      </c>
      <c r="B34" s="34" t="s">
        <v>102</v>
      </c>
      <c r="C34" s="35" t="s">
        <v>86</v>
      </c>
      <c r="D34" s="35" t="s">
        <v>110</v>
      </c>
      <c r="E34" s="35">
        <v>60</v>
      </c>
      <c r="F34" s="35">
        <v>60</v>
      </c>
      <c r="G34" s="35">
        <v>60</v>
      </c>
      <c r="H34" s="35">
        <v>60</v>
      </c>
      <c r="I34" s="35">
        <v>15</v>
      </c>
      <c r="J34" s="43"/>
      <c r="K34" s="5"/>
      <c r="L34" s="81"/>
      <c r="M34" s="5"/>
      <c r="N34" s="5"/>
      <c r="O34" s="5"/>
      <c r="P34" s="5"/>
    </row>
    <row r="35" spans="1:31" x14ac:dyDescent="0.25">
      <c r="A35" s="36" t="s">
        <v>113</v>
      </c>
      <c r="B35" s="37" t="s">
        <v>116</v>
      </c>
      <c r="C35" s="38" t="s">
        <v>78</v>
      </c>
      <c r="D35" s="38" t="s">
        <v>110</v>
      </c>
      <c r="E35" s="42">
        <f>SQRT(D7^2-E36^2-E37^2-'Numerical derivation'!B66^2)</f>
        <v>107.1864263794628</v>
      </c>
      <c r="F35" s="42">
        <f>SQRT(H7^2-F36^2-F37^2-'Numerical derivation'!C66^2)</f>
        <v>61.154967091807023</v>
      </c>
      <c r="G35" s="42">
        <f>SQRT(L7^2-G36^2-G37^2-'Numerical derivation'!D66^2)</f>
        <v>61.337166546882493</v>
      </c>
      <c r="H35" s="42">
        <f>SQRT(P7^2-H36^2-H37^2-'Numerical derivation'!E66^2)</f>
        <v>39.937075506351242</v>
      </c>
      <c r="I35" s="42">
        <f>SQRT(T7^2-I36^2-I37^2-'Numerical derivation'!F66^2)</f>
        <v>33.465952847633076</v>
      </c>
      <c r="J35" s="43"/>
      <c r="K35" s="59"/>
      <c r="L35" s="41"/>
      <c r="M35" s="72"/>
      <c r="N35" s="59"/>
      <c r="O35" s="59"/>
      <c r="P35" s="59"/>
      <c r="Q35" s="59"/>
      <c r="R35" s="59"/>
    </row>
    <row r="36" spans="1:31" x14ac:dyDescent="0.25">
      <c r="A36" s="36" t="s">
        <v>97</v>
      </c>
      <c r="B36" s="37" t="s">
        <v>98</v>
      </c>
      <c r="C36" s="38" t="s">
        <v>75</v>
      </c>
      <c r="D36" s="38" t="s">
        <v>110</v>
      </c>
      <c r="E36" s="44"/>
      <c r="F36" s="44"/>
      <c r="G36" s="42">
        <f>L4</f>
        <v>46.467192727772996</v>
      </c>
      <c r="H36" s="44"/>
      <c r="I36" s="44"/>
      <c r="J36" s="43"/>
      <c r="K36" s="59"/>
      <c r="L36" s="81"/>
      <c r="M36" s="59"/>
      <c r="N36" s="59"/>
      <c r="O36" s="59"/>
      <c r="P36" s="59"/>
      <c r="Q36" s="59"/>
      <c r="R36" s="59"/>
      <c r="AA36" s="5"/>
      <c r="AB36" s="5"/>
      <c r="AC36" s="5"/>
      <c r="AD36" s="5"/>
      <c r="AE36" s="5"/>
    </row>
    <row r="37" spans="1:31" x14ac:dyDescent="0.25">
      <c r="A37" s="36" t="s">
        <v>99</v>
      </c>
      <c r="B37" s="37" t="s">
        <v>100</v>
      </c>
      <c r="C37" s="38" t="s">
        <v>75</v>
      </c>
      <c r="D37" s="38" t="s">
        <v>110</v>
      </c>
      <c r="E37" s="44"/>
      <c r="F37" s="44"/>
      <c r="G37" s="44"/>
      <c r="H37" s="42">
        <f>'Numerical derivation'!E65</f>
        <v>26.907694066939289</v>
      </c>
      <c r="I37" s="42">
        <f>'Numerical derivation'!F65</f>
        <v>26.907694066939289</v>
      </c>
      <c r="J37" s="43"/>
      <c r="K37" s="59"/>
      <c r="L37" s="41"/>
      <c r="M37" s="59"/>
      <c r="N37" s="59"/>
      <c r="O37" s="59"/>
      <c r="P37" s="59"/>
      <c r="Q37" s="59"/>
      <c r="R37" s="59"/>
      <c r="AA37" s="5"/>
      <c r="AB37" s="5"/>
      <c r="AC37" s="5"/>
      <c r="AD37" s="5"/>
      <c r="AE37" s="5"/>
    </row>
    <row r="38" spans="1:31" x14ac:dyDescent="0.25">
      <c r="A38" s="36" t="s">
        <v>153</v>
      </c>
      <c r="B38" s="37" t="s">
        <v>137</v>
      </c>
      <c r="C38" s="38" t="s">
        <v>75</v>
      </c>
      <c r="D38" s="38" t="s">
        <v>110</v>
      </c>
      <c r="E38" s="44">
        <f>F38</f>
        <v>87.735101299308937</v>
      </c>
      <c r="F38" s="44">
        <f>SQRT(115^2-F39^2-F40^2)</f>
        <v>87.735101299308937</v>
      </c>
      <c r="G38" s="44"/>
      <c r="H38" s="42"/>
      <c r="I38" s="42"/>
      <c r="J38" s="43"/>
      <c r="K38" s="59"/>
      <c r="L38" s="41"/>
      <c r="M38" s="59"/>
      <c r="N38" s="59"/>
      <c r="O38" s="59"/>
      <c r="P38" s="59"/>
      <c r="Q38" s="59"/>
      <c r="R38" s="59"/>
      <c r="AA38" s="5"/>
      <c r="AB38" s="5"/>
      <c r="AC38" s="5"/>
      <c r="AD38" s="5"/>
      <c r="AE38" s="5"/>
    </row>
    <row r="39" spans="1:31" x14ac:dyDescent="0.25">
      <c r="A39" s="36" t="s">
        <v>131</v>
      </c>
      <c r="B39" s="37" t="s">
        <v>133</v>
      </c>
      <c r="C39" s="38" t="s">
        <v>75</v>
      </c>
      <c r="D39" s="38" t="s">
        <v>110</v>
      </c>
      <c r="E39" s="44">
        <f>F39</f>
        <v>73.120079321619983</v>
      </c>
      <c r="F39" s="44">
        <f>G39</f>
        <v>73.120079321619983</v>
      </c>
      <c r="G39" s="44">
        <f>SQRT('Numerical derivation'!D66^2-G40^2)</f>
        <v>73.120079321619983</v>
      </c>
      <c r="H39" s="42"/>
      <c r="I39" s="42"/>
      <c r="J39" s="43"/>
      <c r="K39" s="59"/>
      <c r="L39" s="41"/>
      <c r="M39" s="59"/>
      <c r="N39" s="59"/>
      <c r="O39" s="59"/>
      <c r="P39" s="59"/>
      <c r="Q39" s="59"/>
      <c r="R39" s="59"/>
      <c r="AA39" s="5"/>
      <c r="AB39" s="5"/>
      <c r="AC39" s="5"/>
      <c r="AD39" s="5"/>
      <c r="AE39" s="5"/>
    </row>
    <row r="40" spans="1:31" x14ac:dyDescent="0.25">
      <c r="A40" s="36" t="s">
        <v>132</v>
      </c>
      <c r="B40" s="37" t="s">
        <v>149</v>
      </c>
      <c r="C40" s="38" t="s">
        <v>75</v>
      </c>
      <c r="D40" s="38" t="s">
        <v>110</v>
      </c>
      <c r="E40" s="42">
        <f t="shared" ref="E40:G40" si="9">F40</f>
        <v>13.453847033469645</v>
      </c>
      <c r="F40" s="42">
        <f t="shared" si="9"/>
        <v>13.453847033469645</v>
      </c>
      <c r="G40" s="42">
        <f t="shared" si="9"/>
        <v>13.453847033469645</v>
      </c>
      <c r="H40" s="42">
        <f>'Numerical derivation'!E66</f>
        <v>13.453847033469645</v>
      </c>
      <c r="I40" s="42">
        <f>'Numerical derivation'!F66</f>
        <v>13.453847033469645</v>
      </c>
      <c r="J40" s="43"/>
      <c r="K40" s="59"/>
      <c r="L40" s="41"/>
      <c r="M40" s="59"/>
      <c r="N40" s="59"/>
      <c r="O40" s="59"/>
      <c r="P40" s="59"/>
      <c r="Q40" s="59"/>
      <c r="R40" s="59"/>
      <c r="AA40" s="5"/>
      <c r="AB40" s="5"/>
      <c r="AC40" s="5"/>
      <c r="AD40" s="5"/>
      <c r="AE40" s="5"/>
    </row>
    <row r="41" spans="1:31" x14ac:dyDescent="0.25">
      <c r="A41" s="71" t="s">
        <v>101</v>
      </c>
      <c r="B41" s="36" t="s">
        <v>102</v>
      </c>
      <c r="C41" s="38" t="s">
        <v>86</v>
      </c>
      <c r="D41" s="38" t="s">
        <v>110</v>
      </c>
      <c r="E41" s="38">
        <v>60</v>
      </c>
      <c r="F41" s="38">
        <v>60</v>
      </c>
      <c r="G41" s="38">
        <v>60</v>
      </c>
      <c r="H41" s="38">
        <v>60</v>
      </c>
      <c r="I41" s="38">
        <v>15</v>
      </c>
      <c r="J41" s="43"/>
    </row>
    <row r="42" spans="1:31" x14ac:dyDescent="0.25">
      <c r="C42" s="32"/>
      <c r="D42" s="32"/>
      <c r="E42" s="32"/>
      <c r="F42" s="32"/>
      <c r="G42" s="32"/>
      <c r="H42" s="32"/>
      <c r="I42" s="32"/>
    </row>
    <row r="43" spans="1:31" x14ac:dyDescent="0.25">
      <c r="A43" s="33" t="s">
        <v>103</v>
      </c>
      <c r="B43" s="34" t="s">
        <v>3</v>
      </c>
      <c r="C43" s="35" t="s">
        <v>75</v>
      </c>
      <c r="D43" s="35" t="s">
        <v>96</v>
      </c>
      <c r="E43" s="35">
        <v>0.24</v>
      </c>
      <c r="F43" s="35">
        <v>0.2</v>
      </c>
      <c r="G43" s="35">
        <v>0.16</v>
      </c>
      <c r="H43" s="35">
        <v>0.1</v>
      </c>
      <c r="I43" s="35">
        <v>0.08</v>
      </c>
    </row>
    <row r="44" spans="1:31" x14ac:dyDescent="0.25">
      <c r="A44" s="33" t="s">
        <v>108</v>
      </c>
      <c r="B44" s="34" t="s">
        <v>109</v>
      </c>
      <c r="C44" s="35" t="s">
        <v>86</v>
      </c>
      <c r="D44" s="35" t="s">
        <v>96</v>
      </c>
      <c r="E44" s="35">
        <v>0.08</v>
      </c>
      <c r="F44" s="35">
        <v>0.08</v>
      </c>
      <c r="G44" s="35">
        <v>0.08</v>
      </c>
      <c r="H44" s="35">
        <v>0.08</v>
      </c>
      <c r="I44" s="35">
        <v>0.02</v>
      </c>
    </row>
    <row r="45" spans="1:31" x14ac:dyDescent="0.25">
      <c r="A45" s="36" t="s">
        <v>114</v>
      </c>
      <c r="B45" s="37" t="s">
        <v>115</v>
      </c>
      <c r="C45" s="38" t="s">
        <v>78</v>
      </c>
      <c r="D45" s="38" t="s">
        <v>96</v>
      </c>
      <c r="E45" s="39">
        <f>SQRT(E7^2-E46^2-E47^2-'Numerical derivation'!B82^2)</f>
        <v>0.16077313208369112</v>
      </c>
      <c r="F45" s="39">
        <f>SQRT(I7^2-F46^2-F47^2-'Numerical derivation'!C82^2)</f>
        <v>9.0818500317941822E-2</v>
      </c>
      <c r="G45" s="39">
        <f>SQRT(M7^2-G46^2-G47^2-'Numerical derivation'!D82^2)</f>
        <v>8.9120143626455178E-2</v>
      </c>
      <c r="H45" s="39">
        <f>SQRT(Q7^2-H46^2-H47^2-'Numerical derivation'!E82^2)</f>
        <v>7.4108029254595614E-2</v>
      </c>
      <c r="I45" s="39">
        <f>SQRT(U7^2-I46^2-I47^2-'Numerical derivation'!F82^2)</f>
        <v>5.8821764679410971E-2</v>
      </c>
      <c r="M45" s="72"/>
      <c r="N45" s="59"/>
      <c r="O45" s="59"/>
      <c r="P45" s="59"/>
      <c r="Q45" s="59"/>
      <c r="R45" s="59"/>
    </row>
    <row r="46" spans="1:31" x14ac:dyDescent="0.25">
      <c r="A46" s="36" t="s">
        <v>104</v>
      </c>
      <c r="B46" s="37" t="s">
        <v>105</v>
      </c>
      <c r="C46" s="38" t="s">
        <v>75</v>
      </c>
      <c r="D46" s="38" t="s">
        <v>96</v>
      </c>
      <c r="E46" s="44"/>
      <c r="F46" s="44"/>
      <c r="G46" s="39">
        <f>M4</f>
        <v>7.0427267446636035E-2</v>
      </c>
      <c r="H46" s="44"/>
      <c r="I46" s="44"/>
      <c r="M46" s="59"/>
      <c r="N46" s="59"/>
      <c r="O46" s="59"/>
      <c r="P46" s="59"/>
      <c r="Q46" s="59"/>
      <c r="R46" s="59"/>
      <c r="AA46" s="5"/>
      <c r="AB46" s="5"/>
      <c r="AC46" s="5"/>
      <c r="AD46" s="5"/>
      <c r="AE46" s="5"/>
    </row>
    <row r="47" spans="1:31" x14ac:dyDescent="0.25">
      <c r="A47" s="36" t="s">
        <v>106</v>
      </c>
      <c r="B47" s="37" t="s">
        <v>107</v>
      </c>
      <c r="C47" s="38" t="s">
        <v>75</v>
      </c>
      <c r="D47" s="38" t="s">
        <v>96</v>
      </c>
      <c r="E47" s="44"/>
      <c r="F47" s="44"/>
      <c r="G47" s="44"/>
      <c r="H47" s="39">
        <f>'Numerical derivation'!E81</f>
        <v>6.0053309650676213E-2</v>
      </c>
      <c r="I47" s="39">
        <f>'Numerical derivation'!F81</f>
        <v>4.8497422611928562E-2</v>
      </c>
      <c r="M47" s="59"/>
      <c r="N47" s="59"/>
      <c r="O47" s="59"/>
      <c r="P47" s="59"/>
      <c r="Q47" s="59"/>
      <c r="R47" s="59"/>
      <c r="AA47" s="5"/>
      <c r="AB47" s="5"/>
      <c r="AC47" s="5"/>
      <c r="AD47" s="5"/>
      <c r="AE47" s="5"/>
    </row>
    <row r="48" spans="1:31" x14ac:dyDescent="0.25">
      <c r="A48" s="36" t="s">
        <v>154</v>
      </c>
      <c r="B48" s="37" t="s">
        <v>138</v>
      </c>
      <c r="C48" s="38" t="s">
        <v>75</v>
      </c>
      <c r="D48" s="38" t="s">
        <v>96</v>
      </c>
      <c r="E48" s="40">
        <f>F48</f>
        <v>0.13803767601636885</v>
      </c>
      <c r="F48" s="40">
        <f>SQRT('Numerical derivation'!C82^2-F49^2-F50^2)</f>
        <v>0.13803767601636885</v>
      </c>
      <c r="G48" s="40"/>
      <c r="H48" s="39"/>
      <c r="I48" s="39"/>
      <c r="M48" s="59"/>
      <c r="N48" s="59"/>
      <c r="O48" s="59"/>
      <c r="P48" s="59"/>
      <c r="Q48" s="59"/>
      <c r="R48" s="59"/>
      <c r="AA48" s="5"/>
      <c r="AB48" s="5"/>
      <c r="AC48" s="5"/>
      <c r="AD48" s="5"/>
      <c r="AE48" s="5"/>
    </row>
    <row r="49" spans="1:31" x14ac:dyDescent="0.25">
      <c r="A49" s="36" t="s">
        <v>135</v>
      </c>
      <c r="B49" s="37" t="s">
        <v>136</v>
      </c>
      <c r="C49" s="38" t="s">
        <v>75</v>
      </c>
      <c r="D49" s="38" t="s">
        <v>96</v>
      </c>
      <c r="E49" s="40">
        <f>F49</f>
        <v>0.10860939185908372</v>
      </c>
      <c r="F49" s="40">
        <f>G49</f>
        <v>0.10860939185908372</v>
      </c>
      <c r="G49" s="40">
        <f>SQRT('Numerical derivation'!D82^2-G50^2)</f>
        <v>0.10860939185908372</v>
      </c>
      <c r="H49" s="39"/>
      <c r="I49" s="39"/>
      <c r="M49" s="59"/>
      <c r="N49" s="59"/>
      <c r="O49" s="59"/>
      <c r="P49" s="59"/>
      <c r="Q49" s="59"/>
      <c r="R49" s="59"/>
      <c r="AA49" s="5"/>
      <c r="AB49" s="5"/>
      <c r="AC49" s="5"/>
      <c r="AD49" s="5"/>
      <c r="AE49" s="5"/>
    </row>
    <row r="50" spans="1:31" x14ac:dyDescent="0.25">
      <c r="A50" s="36" t="s">
        <v>134</v>
      </c>
      <c r="B50" s="37" t="s">
        <v>150</v>
      </c>
      <c r="C50" s="38" t="s">
        <v>75</v>
      </c>
      <c r="D50" s="38" t="s">
        <v>96</v>
      </c>
      <c r="E50" s="74">
        <f t="shared" ref="E50:G50" si="10">F50</f>
        <v>3.0026654825338107E-2</v>
      </c>
      <c r="F50" s="74">
        <f t="shared" si="10"/>
        <v>3.0026654825338107E-2</v>
      </c>
      <c r="G50" s="74">
        <f t="shared" si="10"/>
        <v>3.0026654825338107E-2</v>
      </c>
      <c r="H50" s="74">
        <f>'Numerical derivation'!E82</f>
        <v>3.0026654825338107E-2</v>
      </c>
      <c r="I50" s="74">
        <f>'Numerical derivation'!F82</f>
        <v>2.4248711305964281E-2</v>
      </c>
      <c r="M50" s="59"/>
      <c r="N50" s="59"/>
      <c r="O50" s="59"/>
      <c r="P50" s="59"/>
      <c r="Q50" s="59"/>
      <c r="R50" s="59"/>
      <c r="AA50" s="5"/>
      <c r="AB50" s="5"/>
      <c r="AC50" s="5"/>
      <c r="AD50" s="5"/>
      <c r="AE50" s="5"/>
    </row>
    <row r="51" spans="1:31" x14ac:dyDescent="0.25">
      <c r="A51" s="71" t="s">
        <v>108</v>
      </c>
      <c r="B51" s="36" t="s">
        <v>109</v>
      </c>
      <c r="C51" s="38" t="s">
        <v>86</v>
      </c>
      <c r="D51" s="38" t="s">
        <v>96</v>
      </c>
      <c r="E51" s="38">
        <v>0.08</v>
      </c>
      <c r="F51" s="38">
        <v>0.08</v>
      </c>
      <c r="G51" s="38">
        <v>0.08</v>
      </c>
      <c r="H51" s="38">
        <v>0.08</v>
      </c>
      <c r="I51" s="38">
        <v>0.02</v>
      </c>
    </row>
    <row r="52" spans="1:31" x14ac:dyDescent="0.25">
      <c r="C52" s="32"/>
      <c r="D52" s="32"/>
      <c r="E52" s="32"/>
      <c r="F52" s="32"/>
      <c r="G52" s="32"/>
      <c r="H52" s="32"/>
      <c r="I52" s="32"/>
    </row>
    <row r="53" spans="1:31" x14ac:dyDescent="0.25">
      <c r="C53" s="32"/>
      <c r="D53" s="32"/>
      <c r="E53" s="32"/>
      <c r="F53" s="32"/>
      <c r="G53" s="32"/>
      <c r="H53" s="32"/>
      <c r="I53" s="32"/>
    </row>
    <row r="54" spans="1:31" x14ac:dyDescent="0.25">
      <c r="C54" s="32"/>
      <c r="D54" s="32"/>
      <c r="E54" s="32"/>
      <c r="F54" s="32"/>
      <c r="G54" s="32"/>
      <c r="H54" s="32"/>
      <c r="I54" s="32"/>
    </row>
    <row r="56" spans="1:31" x14ac:dyDescent="0.25">
      <c r="C56" s="32"/>
      <c r="D56" s="32"/>
      <c r="E56" s="32"/>
      <c r="F56" s="32"/>
      <c r="G56" s="32"/>
      <c r="H56" s="32"/>
      <c r="I56" s="32"/>
    </row>
    <row r="57" spans="1:31" x14ac:dyDescent="0.25">
      <c r="C57" s="32"/>
      <c r="D57" s="32"/>
      <c r="E57" s="32"/>
      <c r="F57" s="32"/>
      <c r="G57" s="32"/>
      <c r="H57" s="32"/>
      <c r="I57" s="32"/>
    </row>
    <row r="58" spans="1:31" x14ac:dyDescent="0.25">
      <c r="C58" s="32"/>
      <c r="D58" s="32"/>
      <c r="E58" s="32"/>
      <c r="F58" s="32"/>
      <c r="G58" s="32"/>
      <c r="H58" s="32"/>
      <c r="I58" s="32"/>
    </row>
    <row r="59" spans="1:31" x14ac:dyDescent="0.25">
      <c r="C59" s="32"/>
      <c r="D59" s="32"/>
      <c r="E59" s="32"/>
      <c r="F59" s="32"/>
      <c r="G59" s="32"/>
      <c r="H59" s="32"/>
      <c r="I59" s="32"/>
    </row>
    <row r="60" spans="1:31" x14ac:dyDescent="0.25">
      <c r="C60" s="32"/>
      <c r="D60" s="32"/>
      <c r="E60" s="32"/>
      <c r="F60" s="32"/>
      <c r="G60" s="32"/>
      <c r="H60" s="32"/>
      <c r="I60" s="32"/>
    </row>
    <row r="61" spans="1:31" x14ac:dyDescent="0.25">
      <c r="C61" s="32"/>
      <c r="D61" s="32"/>
      <c r="E61" s="32"/>
      <c r="F61" s="32"/>
      <c r="G61" s="32"/>
      <c r="H61" s="32"/>
      <c r="I61" s="32"/>
    </row>
    <row r="62" spans="1:31" x14ac:dyDescent="0.25">
      <c r="C62" s="32"/>
      <c r="D62" s="32"/>
      <c r="E62" s="32"/>
      <c r="F62" s="32"/>
      <c r="G62" s="32"/>
      <c r="H62" s="32"/>
      <c r="I62" s="32"/>
    </row>
    <row r="63" spans="1:31" x14ac:dyDescent="0.25">
      <c r="A63" s="45"/>
      <c r="B63" s="46"/>
      <c r="C63" s="47"/>
      <c r="D63" s="47"/>
      <c r="E63" s="47"/>
      <c r="F63" s="47"/>
      <c r="G63" s="47"/>
      <c r="H63" s="47"/>
      <c r="I63" s="47"/>
    </row>
    <row r="64" spans="1:31" x14ac:dyDescent="0.25">
      <c r="A64" s="45"/>
      <c r="B64" s="46"/>
      <c r="C64" s="47"/>
      <c r="D64" s="47"/>
      <c r="E64" s="47"/>
      <c r="F64" s="47"/>
      <c r="G64" s="47"/>
      <c r="H64" s="47"/>
      <c r="I64" s="47"/>
    </row>
    <row r="65" spans="1:9" x14ac:dyDescent="0.25">
      <c r="A65" s="45"/>
      <c r="B65" s="46"/>
      <c r="C65" s="47"/>
      <c r="D65" s="47"/>
      <c r="E65" s="47"/>
      <c r="F65" s="47"/>
      <c r="G65" s="47"/>
      <c r="H65" s="47"/>
      <c r="I65" s="47"/>
    </row>
    <row r="66" spans="1:9" x14ac:dyDescent="0.25">
      <c r="A66" s="45"/>
      <c r="B66" s="46"/>
      <c r="C66" s="47"/>
      <c r="D66" s="47"/>
      <c r="E66" s="47"/>
      <c r="F66" s="47"/>
      <c r="G66" s="47"/>
      <c r="H66" s="47"/>
      <c r="I66" s="47"/>
    </row>
    <row r="67" spans="1:9" x14ac:dyDescent="0.25">
      <c r="B67" s="46"/>
      <c r="C67" s="46"/>
      <c r="D67" s="47"/>
      <c r="E67" s="47"/>
      <c r="F67" s="47"/>
      <c r="G67" s="47"/>
      <c r="H67" s="47"/>
      <c r="I67" s="47"/>
    </row>
    <row r="68" spans="1:9" x14ac:dyDescent="0.25">
      <c r="B68" s="46"/>
      <c r="C68" s="46"/>
      <c r="D68" s="47"/>
      <c r="E68" s="47"/>
      <c r="F68" s="47"/>
      <c r="G68" s="47"/>
      <c r="H68" s="47"/>
      <c r="I68" s="47"/>
    </row>
    <row r="69" spans="1:9" x14ac:dyDescent="0.25">
      <c r="B69" s="46"/>
      <c r="C69" s="46"/>
      <c r="D69" s="47"/>
      <c r="E69" s="47"/>
      <c r="F69" s="47"/>
      <c r="G69" s="47"/>
      <c r="H69" s="47"/>
      <c r="I69" s="47"/>
    </row>
    <row r="70" spans="1:9" x14ac:dyDescent="0.25">
      <c r="B70" s="46"/>
      <c r="C70" s="46"/>
      <c r="D70" s="47"/>
      <c r="E70" s="47"/>
      <c r="F70" s="47"/>
      <c r="G70" s="47"/>
      <c r="H70" s="47"/>
      <c r="I70" s="47"/>
    </row>
    <row r="71" spans="1:9" x14ac:dyDescent="0.25">
      <c r="D71" s="32"/>
      <c r="E71" s="32"/>
      <c r="F71" s="32"/>
      <c r="G71" s="32"/>
      <c r="H71" s="32"/>
      <c r="I71" s="32"/>
    </row>
  </sheetData>
  <mergeCells count="1">
    <mergeCell ref="M12:AE12"/>
  </mergeCells>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A2" sqref="A2:A10"/>
    </sheetView>
  </sheetViews>
  <sheetFormatPr defaultRowHeight="15" x14ac:dyDescent="0.25"/>
  <cols>
    <col min="1" max="1" width="24.85546875" customWidth="1"/>
    <col min="2" max="2" width="81" customWidth="1"/>
  </cols>
  <sheetData>
    <row r="1" spans="1:2" x14ac:dyDescent="0.25">
      <c r="A1" t="s">
        <v>139</v>
      </c>
    </row>
    <row r="2" spans="1:2" x14ac:dyDescent="0.25">
      <c r="A2">
        <v>1</v>
      </c>
      <c r="B2" t="s">
        <v>140</v>
      </c>
    </row>
    <row r="3" spans="1:2" x14ac:dyDescent="0.25">
      <c r="A3">
        <v>2</v>
      </c>
      <c r="B3" t="s">
        <v>141</v>
      </c>
    </row>
    <row r="4" spans="1:2" x14ac:dyDescent="0.25">
      <c r="A4">
        <v>3</v>
      </c>
      <c r="B4" t="s">
        <v>142</v>
      </c>
    </row>
    <row r="5" spans="1:2" x14ac:dyDescent="0.25">
      <c r="A5">
        <v>4</v>
      </c>
      <c r="B5" t="s">
        <v>143</v>
      </c>
    </row>
    <row r="6" spans="1:2" x14ac:dyDescent="0.25">
      <c r="A6">
        <v>5</v>
      </c>
      <c r="B6" t="s">
        <v>144</v>
      </c>
    </row>
    <row r="7" spans="1:2" x14ac:dyDescent="0.25">
      <c r="A7">
        <v>6</v>
      </c>
      <c r="B7" t="s">
        <v>145</v>
      </c>
    </row>
    <row r="8" spans="1:2" x14ac:dyDescent="0.25">
      <c r="A8">
        <v>7</v>
      </c>
      <c r="B8" t="s">
        <v>146</v>
      </c>
    </row>
    <row r="9" spans="1:2" x14ac:dyDescent="0.25">
      <c r="A9">
        <v>8</v>
      </c>
      <c r="B9" t="s">
        <v>147</v>
      </c>
    </row>
    <row r="10" spans="1:2" x14ac:dyDescent="0.25">
      <c r="A10">
        <v>9</v>
      </c>
      <c r="B10"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Correlation matrix</vt:lpstr>
      <vt:lpstr>Numerical derivation</vt:lpstr>
      <vt:lpstr>New Error Sources_v3</vt:lpstr>
      <vt:lpstr>Notes</vt:lpstr>
      <vt:lpstr>'New Error Sources_v3'!Print_Area</vt:lpstr>
      <vt:lpstr>'Numerical derivation'!Print_Area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maus</dc:creator>
  <cp:lastModifiedBy>Andy McGregor</cp:lastModifiedBy>
  <cp:lastPrinted>2019-03-04T14:29:12Z</cp:lastPrinted>
  <dcterms:created xsi:type="dcterms:W3CDTF">2015-03-07T20:10:05Z</dcterms:created>
  <dcterms:modified xsi:type="dcterms:W3CDTF">2021-04-09T18:17:14Z</dcterms:modified>
</cp:coreProperties>
</file>